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A528C492-56C4-4CB2-B230-31394FE19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/>
  <c r="G125" i="1"/>
  <c r="H125" i="1" s="1"/>
  <c r="G124" i="1"/>
  <c r="H124" i="1" s="1"/>
  <c r="G123" i="1"/>
  <c r="G122" i="1"/>
  <c r="H345" i="1"/>
  <c r="F345" i="1"/>
  <c r="E345" i="1"/>
  <c r="D345" i="1"/>
  <c r="G344" i="1"/>
  <c r="G345" i="1" s="1"/>
  <c r="G343" i="1"/>
  <c r="E336" i="1"/>
  <c r="D324" i="1"/>
  <c r="H323" i="1"/>
  <c r="F323" i="1"/>
  <c r="F324" i="1" s="1"/>
  <c r="E323" i="1"/>
  <c r="E324" i="1" s="1"/>
  <c r="H322" i="1"/>
  <c r="H324" i="1" s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E300" i="1" s="1"/>
  <c r="H301" i="1"/>
  <c r="H300" i="1" s="1"/>
  <c r="F301" i="1"/>
  <c r="F300" i="1" s="1"/>
  <c r="G300" i="1" s="1"/>
  <c r="E301" i="1"/>
  <c r="H299" i="1"/>
  <c r="H297" i="1" s="1"/>
  <c r="F299" i="1"/>
  <c r="E299" i="1"/>
  <c r="H298" i="1"/>
  <c r="F298" i="1"/>
  <c r="E298" i="1"/>
  <c r="E297" i="1" s="1"/>
  <c r="F297" i="1"/>
  <c r="G297" i="1" s="1"/>
  <c r="H296" i="1"/>
  <c r="F296" i="1"/>
  <c r="E296" i="1"/>
  <c r="H295" i="1"/>
  <c r="F295" i="1"/>
  <c r="E295" i="1"/>
  <c r="E294" i="1" s="1"/>
  <c r="H294" i="1"/>
  <c r="H304" i="1" s="1"/>
  <c r="F294" i="1"/>
  <c r="E273" i="1"/>
  <c r="I272" i="1"/>
  <c r="H272" i="1"/>
  <c r="G272" i="1"/>
  <c r="F272" i="1"/>
  <c r="I271" i="1"/>
  <c r="G271" i="1"/>
  <c r="H271" i="1" s="1"/>
  <c r="F271" i="1"/>
  <c r="I270" i="1"/>
  <c r="G270" i="1"/>
  <c r="F270" i="1"/>
  <c r="I269" i="1"/>
  <c r="G269" i="1"/>
  <c r="F269" i="1"/>
  <c r="I268" i="1"/>
  <c r="G268" i="1"/>
  <c r="H268" i="1" s="1"/>
  <c r="F268" i="1"/>
  <c r="I267" i="1"/>
  <c r="H267" i="1"/>
  <c r="G267" i="1"/>
  <c r="F267" i="1"/>
  <c r="I266" i="1"/>
  <c r="G266" i="1"/>
  <c r="H266" i="1" s="1"/>
  <c r="H262" i="1" s="1"/>
  <c r="F266" i="1"/>
  <c r="I265" i="1"/>
  <c r="H265" i="1"/>
  <c r="G265" i="1"/>
  <c r="F265" i="1"/>
  <c r="I264" i="1"/>
  <c r="G264" i="1"/>
  <c r="H264" i="1" s="1"/>
  <c r="F264" i="1"/>
  <c r="I263" i="1"/>
  <c r="H263" i="1"/>
  <c r="G263" i="1"/>
  <c r="F263" i="1"/>
  <c r="I262" i="1"/>
  <c r="I273" i="1" s="1"/>
  <c r="G262" i="1"/>
  <c r="G273" i="1" s="1"/>
  <c r="F262" i="1"/>
  <c r="F273" i="1" s="1"/>
  <c r="E262" i="1"/>
  <c r="D262" i="1"/>
  <c r="D273" i="1" s="1"/>
  <c r="H254" i="1"/>
  <c r="F254" i="1"/>
  <c r="D251" i="1"/>
  <c r="D250" i="1"/>
  <c r="H241" i="1"/>
  <c r="D241" i="1"/>
  <c r="G241" i="1" s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E241" i="1" s="1"/>
  <c r="H237" i="1"/>
  <c r="F237" i="1"/>
  <c r="F241" i="1" s="1"/>
  <c r="E237" i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H202" i="1"/>
  <c r="H206" i="1" s="1"/>
  <c r="E202" i="1"/>
  <c r="E206" i="1" s="1"/>
  <c r="E192" i="1"/>
  <c r="H192" i="1" s="1"/>
  <c r="D192" i="1"/>
  <c r="I191" i="1"/>
  <c r="H191" i="1"/>
  <c r="G191" i="1"/>
  <c r="F191" i="1"/>
  <c r="I190" i="1"/>
  <c r="I192" i="1" s="1"/>
  <c r="G190" i="1"/>
  <c r="G192" i="1" s="1"/>
  <c r="F190" i="1"/>
  <c r="I189" i="1"/>
  <c r="H189" i="1"/>
  <c r="G189" i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H163" i="1" s="1"/>
  <c r="F165" i="1"/>
  <c r="E165" i="1"/>
  <c r="H164" i="1"/>
  <c r="F164" i="1"/>
  <c r="E164" i="1"/>
  <c r="E163" i="1" s="1"/>
  <c r="F163" i="1"/>
  <c r="G163" i="1" s="1"/>
  <c r="H162" i="1"/>
  <c r="G162" i="1"/>
  <c r="F162" i="1"/>
  <c r="E162" i="1"/>
  <c r="H161" i="1"/>
  <c r="F161" i="1"/>
  <c r="E161" i="1"/>
  <c r="E169" i="1" s="1"/>
  <c r="H160" i="1"/>
  <c r="G160" i="1"/>
  <c r="F160" i="1"/>
  <c r="E160" i="1"/>
  <c r="D137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I126" i="1" s="1"/>
  <c r="G127" i="1"/>
  <c r="H127" i="1" s="1"/>
  <c r="H126" i="1" s="1"/>
  <c r="F127" i="1"/>
  <c r="F126" i="1" s="1"/>
  <c r="E126" i="1"/>
  <c r="D126" i="1"/>
  <c r="I125" i="1"/>
  <c r="F125" i="1"/>
  <c r="I124" i="1"/>
  <c r="F124" i="1"/>
  <c r="I123" i="1"/>
  <c r="H123" i="1"/>
  <c r="F123" i="1"/>
  <c r="I122" i="1"/>
  <c r="H122" i="1"/>
  <c r="F122" i="1"/>
  <c r="I121" i="1"/>
  <c r="I120" i="1" s="1"/>
  <c r="F121" i="1"/>
  <c r="F120" i="1" s="1"/>
  <c r="E121" i="1"/>
  <c r="E120" i="1" s="1"/>
  <c r="D121" i="1"/>
  <c r="D120" i="1"/>
  <c r="I119" i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H115" i="1" s="1"/>
  <c r="G116" i="1"/>
  <c r="F116" i="1"/>
  <c r="F115" i="1" s="1"/>
  <c r="G115" i="1"/>
  <c r="E115" i="1"/>
  <c r="E137" i="1" s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H83" i="1" s="1"/>
  <c r="H82" i="1" s="1"/>
  <c r="G84" i="1"/>
  <c r="F84" i="1"/>
  <c r="F83" i="1" s="1"/>
  <c r="F82" i="1" s="1"/>
  <c r="I83" i="1"/>
  <c r="I82" i="1" s="1"/>
  <c r="G83" i="1"/>
  <c r="G82" i="1" s="1"/>
  <c r="E83" i="1"/>
  <c r="D83" i="1"/>
  <c r="D82" i="1" s="1"/>
  <c r="D94" i="1" s="1"/>
  <c r="E82" i="1"/>
  <c r="I81" i="1"/>
  <c r="H81" i="1"/>
  <c r="G81" i="1"/>
  <c r="F81" i="1"/>
  <c r="I80" i="1"/>
  <c r="I79" i="1" s="1"/>
  <c r="I94" i="1" s="1"/>
  <c r="G80" i="1"/>
  <c r="G79" i="1" s="1"/>
  <c r="G94" i="1" s="1"/>
  <c r="F80" i="1"/>
  <c r="F79" i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F52" i="1"/>
  <c r="F31" i="1" s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G34" i="1"/>
  <c r="G33" i="1" s="1"/>
  <c r="F34" i="1"/>
  <c r="I33" i="1"/>
  <c r="E33" i="1"/>
  <c r="D33" i="1"/>
  <c r="I32" i="1"/>
  <c r="G32" i="1"/>
  <c r="H32" i="1" s="1"/>
  <c r="F32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G27" i="1"/>
  <c r="H27" i="1" s="1"/>
  <c r="F27" i="1"/>
  <c r="E26" i="1"/>
  <c r="D26" i="1"/>
  <c r="D25" i="1" s="1"/>
  <c r="E25" i="1"/>
  <c r="I24" i="1"/>
  <c r="H24" i="1"/>
  <c r="G24" i="1"/>
  <c r="F24" i="1"/>
  <c r="F22" i="1" s="1"/>
  <c r="I23" i="1"/>
  <c r="I22" i="1" s="1"/>
  <c r="G23" i="1"/>
  <c r="G22" i="1" s="1"/>
  <c r="F23" i="1"/>
  <c r="E22" i="1"/>
  <c r="E42" i="1" s="1"/>
  <c r="D22" i="1"/>
  <c r="H16" i="1"/>
  <c r="F16" i="1"/>
  <c r="D16" i="1"/>
  <c r="I26" i="1" l="1"/>
  <c r="I25" i="1" s="1"/>
  <c r="I42" i="1" s="1"/>
  <c r="F33" i="1"/>
  <c r="F25" i="1" s="1"/>
  <c r="F42" i="1" s="1"/>
  <c r="F26" i="1"/>
  <c r="H34" i="1"/>
  <c r="G26" i="1"/>
  <c r="H31" i="1"/>
  <c r="E304" i="1"/>
  <c r="F94" i="1"/>
  <c r="H121" i="1"/>
  <c r="H120" i="1" s="1"/>
  <c r="H137" i="1" s="1"/>
  <c r="H79" i="1"/>
  <c r="H94" i="1" s="1"/>
  <c r="H169" i="1"/>
  <c r="F304" i="1"/>
  <c r="G304" i="1" s="1"/>
  <c r="H273" i="1"/>
  <c r="G202" i="1"/>
  <c r="F206" i="1"/>
  <c r="G206" i="1"/>
  <c r="G25" i="1"/>
  <c r="G42" i="1" s="1"/>
  <c r="H33" i="1"/>
  <c r="G215" i="1"/>
  <c r="F219" i="1"/>
  <c r="G219" i="1" s="1"/>
  <c r="I137" i="1"/>
  <c r="H26" i="1"/>
  <c r="D42" i="1"/>
  <c r="F137" i="1"/>
  <c r="G126" i="1"/>
  <c r="G323" i="1"/>
  <c r="G324" i="1" s="1"/>
  <c r="H23" i="1"/>
  <c r="H22" i="1" s="1"/>
  <c r="H52" i="1"/>
  <c r="H80" i="1"/>
  <c r="G121" i="1"/>
  <c r="G237" i="1"/>
  <c r="F169" i="1"/>
  <c r="G169" i="1" s="1"/>
  <c r="H190" i="1"/>
  <c r="G294" i="1"/>
  <c r="H25" i="1" l="1"/>
  <c r="G120" i="1"/>
  <c r="G137" i="1" s="1"/>
  <c r="H42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<sst xmlns="http://schemas.openxmlformats.org/spreadsheetml/2006/main" count="393" uniqueCount="167">
  <si>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</si>
  <si>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</si>
  <si>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</si>
  <si>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</si>
  <si>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</si>
  <si>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</si>
  <si>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</si>
  <si>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</si>
  <si>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</si>
  <si>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</si>
  <si>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</si>
  <si>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</si>
  <si>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</si>
  <si>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</si>
  <si>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</si>
  <si>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</si>
  <si>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</si>
  <si>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</si>
  <si>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</si>
  <si>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</si>
  <si>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</si>
  <si>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</si>
  <si>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</si>
  <si>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</si>
  <si>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</si>
  <si>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</si>
  <si>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</si>
  <si>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</si>
  <si>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</si>
  <si>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</si>
  <si>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</si>
  <si>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</si>
  <si>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</si>
  <si>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</si>
  <si>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</si>
  <si>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</si>
  <si>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</si>
  <si>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</si>
  <si>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</si>
  <si>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</si>
  <si>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</si>
  <si>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</si>
  <si>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</si>
  <si>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</si>
  <si>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</si>
  <si>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</si>
  <si>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</si>
  <si>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</si>
  <si>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</si>
  <si>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</si>
  <si>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</si>
  <si>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</si>
  <si>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</si>
  <si>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</si>
  <si>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</si>
  <si>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</si>
  <si>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</si>
  <si>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</si>
  <si>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</si>
  <si>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</si>
  <si>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</si>
  <si>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</si>
  <si>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</si>
  <si>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</si>
  <si>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</si>
  <si>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</si>
  <si>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</si>
  <si>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</si>
  <si>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</si>
  <si>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</si>
  <si>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</si>
  <si>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</si>
  <si>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</si>
  <si>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</si>
  <si>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</si>
  <si>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</si>
  <si>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</si>
  <si>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</si>
  <si>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</si>
  <si>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</si>
  <si>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</si>
  <si>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</si>
  <si>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</si>
  <si>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</si>
  <si>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</si>
  <si>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</si>
  <si>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</si>
  <si>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</si>
  <si>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</si>
  <si>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</si>
  <si>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</si>
  <si>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</si>
  <si>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</si>
  <si>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</si>
  <si>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</si>
  <si>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</si>
  <si>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</si>
  <si>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</si>
  <si>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</si>
  <si>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</si>
  <si>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</si>
  <si>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</si>
  <si>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</si>
  <si>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</si>
  <si>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</si>
  <si>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</si>
  <si>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</si>
  <si>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</si>
  <si>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</si>
  <si>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</si>
  <si>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</si>
  <si>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</si>
  <si>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</si>
  <si>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</si>
  <si>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</si>
  <si>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</si>
  <si>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</si>
  <si>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</si>
  <si>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</si>
  <si>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</si>
  <si>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</si>
  <si>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</si>
  <si>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</si>
  <si>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</si>
  <si>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</si>
  <si>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</si>
  <si>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</si>
  <si>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</si>
  <si>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</si>
  <si>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</si>
  <si>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</si>
  <si>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</si>
  <si>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</si>
  <si>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</si>
  <si>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</si>
  <si>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</si>
  <si>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</si>
  <si>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</si>
  <si>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</si>
  <si>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</si>
  <si>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</si>
  <si>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</si>
  <si>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</si>
  <si>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</si>
  <si>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</si>
  <si>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</si>
  <si>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</si>
  <si>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</si>
  <si>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</si>
  <si>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</si>
  <si>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</si>
  <si>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</si>
  <si>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</si>
  <si>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</si>
  <si>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</si>
  <si>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</si>
  <si>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</si>
  <si>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</si>
  <si>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</si>
  <si>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54 tonn, men det legges til grunn at hele avsetningen tas</t>
  </si>
  <si>
    <t>4 Registrert rekreasjonsfiske utgjør 409 tonn, men det legges til grunn at hele avsetningen tas</t>
  </si>
  <si>
    <t>3 Registrert rekreasjonsfiske utgjør 781 tonn, men det legges til grunn at hele avsetningen tas</t>
  </si>
  <si>
    <t>FANGST UKE 49</t>
  </si>
  <si>
    <t>FANGST T.O.M UKE 49</t>
  </si>
  <si>
    <t>RESTKVOTER UKE 49</t>
  </si>
  <si>
    <t>FANGST T.O.M UKE 49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</si>
  <si>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4 765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</si>
</sst>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14" zoomScale="112" zoomScaleNormal="55" zoomScaleSheetLayoutView="100" zoomScalePageLayoutView="85" workbookViewId="0">
      <selection activeCell="G119" sqref="G11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876.41250000000002</v>
      </c>
      <c r="G22" s="27">
        <f t="shared" si="0"/>
        <v>34074.923739999998</v>
      </c>
      <c r="H22" s="10">
        <f t="shared" si="0"/>
        <v>7512.0762599999998</v>
      </c>
      <c r="I22" s="10">
        <f t="shared" si="0"/>
        <v>51850.975310000002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40825</v>
      </c>
      <c r="F23" s="22">
        <f>831.8685</f>
        <v>831.86850000000004</v>
      </c>
      <c r="G23" s="22">
        <f>33564.63319</f>
        <v>33564.63319</v>
      </c>
      <c r="H23" s="22">
        <f>E23-G23</f>
        <v>7260.3668099999995</v>
      </c>
      <c r="I23" s="22">
        <f>51291.47759</f>
        <v>51291.477590000002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762</v>
      </c>
      <c r="F24" s="165">
        <f>44.544</f>
        <v>44.543999999999997</v>
      </c>
      <c r="G24" s="22">
        <f>510.29055</f>
        <v>510.29055</v>
      </c>
      <c r="H24" s="22">
        <f>E24-G24</f>
        <v>251.70945</v>
      </c>
      <c r="I24" s="22">
        <f>559.49772</f>
        <v>559.49771999999996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1093.7689799999998</v>
      </c>
      <c r="G25" s="10">
        <f t="shared" si="1"/>
        <v>116079.42928999999</v>
      </c>
      <c r="H25" s="10">
        <f t="shared" si="1"/>
        <v>5652.57071</v>
      </c>
      <c r="I25" s="10">
        <f t="shared" si="1"/>
        <v>133971.42775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779.28067999999996</v>
      </c>
      <c r="G26" s="129">
        <f>G27+G28+G29+G30+G31</f>
        <v>91543.915629999989</v>
      </c>
      <c r="H26" s="129">
        <f t="shared" ref="H26:I26" si="2">H27+H28+H29+H30+H31</f>
        <v>3319.0843700000005</v>
      </c>
      <c r="I26" s="129">
        <f t="shared" si="2"/>
        <v>106752.48064000001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25143</v>
      </c>
      <c r="F27" s="209">
        <f>386.3524 - F53</f>
        <v>42.352399999999989</v>
      </c>
      <c r="G27" s="123">
        <f>25773.30526 - G53</f>
        <v>23303.305260000001</v>
      </c>
      <c r="H27" s="123">
        <f t="shared" ref="H27:H39" si="3">E27-G27</f>
        <v>1839.694739999999</v>
      </c>
      <c r="I27" s="123">
        <f>28179.25329 - I53</f>
        <v>26290.253290000001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23988</v>
      </c>
      <c r="F28" s="123">
        <f>258.44925 - F54</f>
        <v>-5.5507499999999936</v>
      </c>
      <c r="G28" s="123">
        <f>25555.79287 - G54</f>
        <v>23096.792870000001</v>
      </c>
      <c r="H28" s="123">
        <f t="shared" si="3"/>
        <v>891.20712999999887</v>
      </c>
      <c r="I28" s="123">
        <f>30692.62064 - I54</f>
        <v>28467.620640000001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21861</v>
      </c>
      <c r="F29" s="123">
        <f>116.69703 - F55</f>
        <v>-17.302970000000002</v>
      </c>
      <c r="G29" s="123">
        <f>23651.33054 - G55</f>
        <v>21842.330539999999</v>
      </c>
      <c r="H29" s="123">
        <f t="shared" si="3"/>
        <v>18.669460000000981</v>
      </c>
      <c r="I29" s="123">
        <f>27532.48252 - I55</f>
        <v>26064.482520000001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15640</v>
      </c>
      <c r="F30" s="123">
        <f>17.782 - F56</f>
        <v>-26.218</v>
      </c>
      <c r="G30" s="123">
        <f>16563.48696 - G56</f>
        <v>15496.486959999998</v>
      </c>
      <c r="H30" s="123">
        <f t="shared" si="3"/>
        <v>143.51304000000164</v>
      </c>
      <c r="I30" s="123">
        <f>20348.12419 - I56</f>
        <v>19073.124189999999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786</v>
      </c>
      <c r="G31" s="123">
        <f>G52</f>
        <v>7805</v>
      </c>
      <c r="H31" s="123">
        <f>E31-G31</f>
        <v>426</v>
      </c>
      <c r="I31" s="123">
        <f>I52</f>
        <v>6857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13691</v>
      </c>
      <c r="F32" s="129">
        <f>0.65018</f>
        <v>0.65017999999999998</v>
      </c>
      <c r="G32" s="129">
        <f>11672.72139</f>
        <v>11672.721390000001</v>
      </c>
      <c r="H32" s="129">
        <f t="shared" si="3"/>
        <v>2018.2786099999994</v>
      </c>
      <c r="I32" s="129">
        <f>14517.42379</f>
        <v>14517.423790000001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313.83812</v>
      </c>
      <c r="G33" s="129">
        <f>G34+G35</f>
        <v>12862.79227</v>
      </c>
      <c r="H33" s="129">
        <f t="shared" si="3"/>
        <v>315.20773000000008</v>
      </c>
      <c r="I33" s="129">
        <f>I34+I35</f>
        <v>12701.52332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12218</v>
      </c>
      <c r="F34" s="123">
        <f>348.83812 - F57 - F58</f>
        <v>86.838120000000004</v>
      </c>
      <c r="G34" s="129">
        <f>15152.79227 - G57 - G58</f>
        <v>11325.79227</v>
      </c>
      <c r="H34" s="123">
        <f t="shared" si="3"/>
        <v>892.20773000000008</v>
      </c>
      <c r="I34" s="123">
        <f>15624.52332 - I57 - I58</f>
        <v>11719.52332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227</v>
      </c>
      <c r="G35" s="67">
        <f>G57</f>
        <v>1537</v>
      </c>
      <c r="H35" s="67">
        <f t="shared" si="3"/>
        <v>-577</v>
      </c>
      <c r="I35" s="67">
        <f>I57</f>
        <v>982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12.1334</f>
        <v>12.1334</v>
      </c>
      <c r="G37" s="95">
        <f>752.76027</f>
        <v>752.76026999999999</v>
      </c>
      <c r="H37" s="95">
        <f t="shared" si="3"/>
        <v>102.23973000000001</v>
      </c>
      <c r="I37" s="95">
        <f>526.30886</f>
        <v>526.30885999999998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35</v>
      </c>
      <c r="G38" s="95">
        <f>G58</f>
        <v>2290</v>
      </c>
      <c r="H38" s="95">
        <f t="shared" si="3"/>
        <v>710</v>
      </c>
      <c r="I38" s="95">
        <f>I58</f>
        <v>2923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2.97803</f>
        <v>2.97803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0.69766</f>
        <v>0.69765999999999995</v>
      </c>
      <c r="G40" s="95">
        <f>391.81185</f>
        <v>391.81184999999999</v>
      </c>
      <c r="H40" s="95">
        <f>E40-G40</f>
        <v>58.188150000000007</v>
      </c>
      <c r="I40" s="95">
        <f>368.57095</f>
        <v>368.57094999999998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</f>
        <v>0</v>
      </c>
      <c r="G41" s="136">
        <f>189.41437</f>
        <v>189.41436999999999</v>
      </c>
      <c r="H41" s="136">
        <f t="shared" ref="H41" si="4">E41-G41</f>
        <v>-189.41436999999999</v>
      </c>
      <c r="I41" s="136">
        <f>158.17786</f>
        <v>158.17786000000001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2020.9905699999997</v>
      </c>
      <c r="G42" s="73">
        <f t="shared" si="5"/>
        <v>161058.59592000002</v>
      </c>
      <c r="H42" s="73">
        <f t="shared" si="5"/>
        <v>14565.404079999998</v>
      </c>
      <c r="I42" s="73">
        <f t="shared" si="5"/>
        <v>197146.82193000001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786</v>
      </c>
      <c r="G52" s="10">
        <f>G56+G55+G54+G53</f>
        <v>7805</v>
      </c>
      <c r="H52" s="329">
        <f>E52-G52</f>
        <v>426</v>
      </c>
      <c r="I52" s="10">
        <f>I56+I55+I54+I53</f>
        <v>6857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344</v>
      </c>
      <c r="G53" s="123">
        <v>2470</v>
      </c>
      <c r="H53" s="330"/>
      <c r="I53" s="123">
        <v>1889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264</v>
      </c>
      <c r="G54" s="123">
        <v>2459</v>
      </c>
      <c r="H54" s="330"/>
      <c r="I54" s="123">
        <v>2225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134</v>
      </c>
      <c r="G55" s="123">
        <v>1809</v>
      </c>
      <c r="H55" s="330"/>
      <c r="I55" s="123">
        <v>1468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44</v>
      </c>
      <c r="G56" s="186">
        <v>1067</v>
      </c>
      <c r="H56" s="331"/>
      <c r="I56" s="186">
        <v>1275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227</v>
      </c>
      <c r="G57" s="92">
        <v>1537</v>
      </c>
      <c r="H57" s="92">
        <f>E57-G57</f>
        <v>-577</v>
      </c>
      <c r="I57" s="92">
        <v>982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35</v>
      </c>
      <c r="G58" s="136">
        <v>2290</v>
      </c>
      <c r="H58" s="136">
        <f>E58-G58</f>
        <v>710</v>
      </c>
      <c r="I58" s="136">
        <v>2923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259.6216</v>
      </c>
      <c r="G79" s="10">
        <f t="shared" si="6"/>
        <v>23533.494469999998</v>
      </c>
      <c r="H79" s="10">
        <f t="shared" si="6"/>
        <v>2588.5055300000004</v>
      </c>
      <c r="I79" s="10">
        <f t="shared" si="6"/>
        <v>24966.45909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25297</v>
      </c>
      <c r="F80" s="22">
        <f>232.9516</f>
        <v>232.95160000000001</v>
      </c>
      <c r="G80" s="22">
        <f>22941.93046</f>
        <v>22941.93046</v>
      </c>
      <c r="H80" s="22">
        <f>E80-G80</f>
        <v>2355.0695400000004</v>
      </c>
      <c r="I80" s="22">
        <f>24162.97914</f>
        <v>24162.979139999999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26.67</f>
        <v>26.67</v>
      </c>
      <c r="G81" s="48">
        <f>591.56401</f>
        <v>591.56401000000005</v>
      </c>
      <c r="H81" s="48">
        <f>E81-G81</f>
        <v>233.43598999999995</v>
      </c>
      <c r="I81" s="48">
        <f>803.47995</f>
        <v>803.47995000000003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462.05483000000004</v>
      </c>
      <c r="G82" s="10">
        <f t="shared" si="7"/>
        <v>38536.648000000001</v>
      </c>
      <c r="H82" s="10">
        <f t="shared" si="7"/>
        <v>5573.3519999999999</v>
      </c>
      <c r="I82" s="10">
        <f t="shared" si="7"/>
        <v>43939.806490000003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325.19953000000004</v>
      </c>
      <c r="G83" s="129">
        <f t="shared" si="8"/>
        <v>29901.79926</v>
      </c>
      <c r="H83" s="129">
        <f t="shared" si="8"/>
        <v>2584.2007400000002</v>
      </c>
      <c r="I83" s="129">
        <f t="shared" si="8"/>
        <v>34309.283889999999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200.05267</f>
        <v>200.05267000000001</v>
      </c>
      <c r="G84" s="123">
        <f>5049.14674</f>
        <v>5049.1467400000001</v>
      </c>
      <c r="H84" s="123">
        <f t="shared" ref="H84:H91" si="9">E84-G84</f>
        <v>3954.8532599999999</v>
      </c>
      <c r="I84" s="123">
        <f>6149.82283</f>
        <v>6149.8228300000001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9068</v>
      </c>
      <c r="F85" s="123">
        <f>72.05722</f>
        <v>72.057220000000001</v>
      </c>
      <c r="G85" s="123">
        <f>7842.07566</f>
        <v>7842.0756600000004</v>
      </c>
      <c r="H85" s="123">
        <f t="shared" si="9"/>
        <v>1225.9243399999996</v>
      </c>
      <c r="I85" s="123">
        <f>10823.89703</f>
        <v>10823.89703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8642</v>
      </c>
      <c r="F86" s="123">
        <f>43.25988</f>
        <v>43.259880000000003</v>
      </c>
      <c r="G86" s="123">
        <f>8801.30446</f>
        <v>8801.3044599999994</v>
      </c>
      <c r="H86" s="123">
        <f t="shared" si="9"/>
        <v>-159.30445999999938</v>
      </c>
      <c r="I86" s="123">
        <f>10241.22336</f>
        <v>10241.22336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5772</v>
      </c>
      <c r="F87" s="123">
        <f>9.82976</f>
        <v>9.8297600000000003</v>
      </c>
      <c r="G87" s="123">
        <f>8209.2724</f>
        <v>8209.2723999999998</v>
      </c>
      <c r="H87" s="123">
        <f t="shared" si="9"/>
        <v>-2437.2723999999998</v>
      </c>
      <c r="I87" s="123">
        <f>7094.34067</f>
        <v>7094.3406699999996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0.08892</f>
        <v>8.8919999999999999E-2</v>
      </c>
      <c r="G88" s="129">
        <f>5957.11358</f>
        <v>5957.1135800000002</v>
      </c>
      <c r="H88" s="129">
        <f t="shared" si="9"/>
        <v>2159.8864199999998</v>
      </c>
      <c r="I88" s="129">
        <f>6743.0146</f>
        <v>6743.0146000000004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136.76638</f>
        <v>136.76638</v>
      </c>
      <c r="G89" s="72">
        <f>2677.73516</f>
        <v>2677.7351600000002</v>
      </c>
      <c r="H89" s="72">
        <f t="shared" si="9"/>
        <v>829.26483999999982</v>
      </c>
      <c r="I89" s="72">
        <f>2887.508</f>
        <v>2887.5079999999998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44.9671</f>
        <v>44.967100000000002</v>
      </c>
      <c r="H90" s="95">
        <f t="shared" si="9"/>
        <v>274.03289999999998</v>
      </c>
      <c r="I90" s="95">
        <f>38.82024</f>
        <v>38.820239999999998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0.28468</f>
        <v>0.28467999999999999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0.0305</f>
        <v>3.0499999999999999E-2</v>
      </c>
      <c r="G92" s="95">
        <f>15.48036</f>
        <v>15.480359999999999</v>
      </c>
      <c r="H92" s="136">
        <f>E92-G92</f>
        <v>34.519640000000003</v>
      </c>
      <c r="I92" s="95">
        <f>56.7055</f>
        <v>56.705500000000001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40.83824</f>
        <v>40.838239999999999</v>
      </c>
      <c r="H93" s="136">
        <f t="shared" ref="H93" si="10">E93-G93</f>
        <v>-40.838239999999999</v>
      </c>
      <c r="I93" s="136">
        <f>53.75992</f>
        <v>53.759920000000001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721.99160999999992</v>
      </c>
      <c r="G94" s="73">
        <f t="shared" si="12"/>
        <v>62471.428169999999</v>
      </c>
      <c r="H94" s="73">
        <f t="shared" si="12"/>
        <v>8429.5718300000008</v>
      </c>
      <c r="I94" s="73">
        <f t="shared" si="12"/>
        <v>69355.551240000001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498.44295</v>
      </c>
      <c r="G115" s="10">
        <f t="shared" si="13"/>
        <v>47591.882959999995</v>
      </c>
      <c r="H115" s="10">
        <f t="shared" si="13"/>
        <v>23423.117040000001</v>
      </c>
      <c r="I115" s="10">
        <f t="shared" si="13"/>
        <v>62178.253590000008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371.12985</f>
        <v>371.12984999999998</v>
      </c>
      <c r="G116" s="22">
        <f>42250.97233</f>
        <v>42250.972329999997</v>
      </c>
      <c r="H116" s="22">
        <f>E116-G116</f>
        <v>14199.027670000003</v>
      </c>
      <c r="I116" s="22">
        <f>55282.53147</f>
        <v>55282.531470000002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127.3131</f>
        <v>127.31310000000001</v>
      </c>
      <c r="G117" s="22">
        <f>5251.83003</f>
        <v>5251.8300300000001</v>
      </c>
      <c r="H117" s="22">
        <f>E117-G117</f>
        <v>8813.169969999999</v>
      </c>
      <c r="I117" s="22">
        <f>6819.20797</f>
        <v>6819.2079700000004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0.229</f>
        <v>0.22900000000000001</v>
      </c>
      <c r="G119" s="92">
        <f>30207.6337+4764.935</f>
        <v>34972.568699999996</v>
      </c>
      <c r="H119" s="92">
        <f>E119-G119</f>
        <v>16457.431300000004</v>
      </c>
      <c r="I119" s="92">
        <f>16580.7768</f>
        <v>16580.7768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1248.48262</v>
      </c>
      <c r="G120" s="91">
        <f t="shared" ref="G120" si="14">G121+G126+G129</f>
        <v>50534.769189999992</v>
      </c>
      <c r="H120" s="91">
        <f>H121+H126+H129</f>
        <v>24510.230809999997</v>
      </c>
      <c r="I120" s="91">
        <f>I121+I126+I129</f>
        <v>76399.249289999992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1048.91536</v>
      </c>
      <c r="G121" s="121">
        <f>G122+G123+G125+G124</f>
        <v>37939.076589999997</v>
      </c>
      <c r="H121" s="121">
        <f>H122+H123+H124+H125</f>
        <v>18419.923409999999</v>
      </c>
      <c r="I121" s="121">
        <f>I122+I123+I124+I125</f>
        <v>60266.320240000001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281.55301</f>
        <v>281.55300999999997</v>
      </c>
      <c r="G122" s="123">
        <f>9719.3468</f>
        <v>9719.3467999999993</v>
      </c>
      <c r="H122" s="123">
        <f>E122-G122</f>
        <v>6296.6532000000007</v>
      </c>
      <c r="I122" s="123">
        <f>12081.35368</f>
        <v>12081.35368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334.94285</f>
        <v>334.94285000000002</v>
      </c>
      <c r="G123" s="123">
        <f>11107.3982-282.9332</f>
        <v>10824.465</v>
      </c>
      <c r="H123" s="123">
        <f>E123-G123</f>
        <v>4029.5349999999999</v>
      </c>
      <c r="I123" s="123">
        <f>15761.44814</f>
        <v>15761.44814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231.17995</f>
        <v>231.17994999999999</v>
      </c>
      <c r="G124" s="123">
        <f>10268.02465-1009.1943</f>
        <v>9258.8303500000002</v>
      </c>
      <c r="H124" s="123">
        <f>E124-G124</f>
        <v>3613.1696499999998</v>
      </c>
      <c r="I124" s="123">
        <f>15869.76919</f>
        <v>15869.769190000001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201.23955</f>
        <v>201.23955000000001</v>
      </c>
      <c r="G125" s="123">
        <f>11609.24194-3472.8075</f>
        <v>8136.43444</v>
      </c>
      <c r="H125" s="123">
        <f>E125-G125</f>
        <v>4480.56556</v>
      </c>
      <c r="I125" s="123">
        <f>16553.74923</f>
        <v>16553.749230000001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6.3444000000000003</v>
      </c>
      <c r="G126" s="129">
        <f>SUM(G127:G128)</f>
        <v>6476.29835</v>
      </c>
      <c r="H126" s="129">
        <f>H127+H128</f>
        <v>1265.7016499999995</v>
      </c>
      <c r="I126" s="129">
        <f>SUM(I127:I128)</f>
        <v>9281.131440000001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6264.72878</f>
        <v>6264.7287800000004</v>
      </c>
      <c r="H127" s="123">
        <f t="shared" ref="H127:H135" si="15">E127-G127</f>
        <v>977.27121999999963</v>
      </c>
      <c r="I127" s="123">
        <f>8806.8986</f>
        <v>8806.8986000000004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6.3444</f>
        <v>6.3444000000000003</v>
      </c>
      <c r="G128" s="123">
        <f>211.56957</f>
        <v>211.56957</v>
      </c>
      <c r="H128" s="123">
        <f t="shared" si="15"/>
        <v>288.43043</v>
      </c>
      <c r="I128" s="123">
        <f>474.23284</f>
        <v>474.23284000000001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193.22286</f>
        <v>193.22286</v>
      </c>
      <c r="G129" s="72">
        <f>6119.39425</f>
        <v>6119.3942500000003</v>
      </c>
      <c r="H129" s="72">
        <f t="shared" si="15"/>
        <v>4824.6057499999997</v>
      </c>
      <c r="I129" s="72">
        <f>6851.79761</f>
        <v>6851.7976099999996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21.63411</f>
        <v>21.63411</v>
      </c>
      <c r="H130" s="136">
        <f t="shared" si="15"/>
        <v>124.36589000000001</v>
      </c>
      <c r="I130" s="136">
        <f>16.4778</f>
        <v>16.477799999999998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2.3538</f>
        <v>2.3538000000000001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0.773</f>
        <v>0.77300000000000002</v>
      </c>
      <c r="G134" s="95">
        <f>94.29568</f>
        <v>94.295680000000004</v>
      </c>
      <c r="H134" s="136">
        <f t="shared" si="15"/>
        <v>218.70432</v>
      </c>
      <c r="I134" s="95">
        <f>83.35461</f>
        <v>83.354609999999994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278.29559</f>
        <v>278.29559</v>
      </c>
      <c r="H135" s="136">
        <f t="shared" si="15"/>
        <v>-278.29559</v>
      </c>
      <c r="I135" s="136">
        <f>292.87224</f>
        <v>292.87223999999998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1750.2813699999999</v>
      </c>
      <c r="G137" s="73">
        <f>G115+G119+G120+G130+G131+G132+G133+G134+G135</f>
        <v>135494.81422999999</v>
      </c>
      <c r="H137" s="73">
        <f>H115+H119+H120+H130+H131+H132+H133+H134+H135</f>
        <v>64804.185769999996</v>
      </c>
      <c r="I137" s="73">
        <f>I115+I119+I120+I130+I131+I132+I133+I134+I135</f>
        <v>157807.02032999997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204.85081</f>
        <v>204.85081</v>
      </c>
      <c r="F160" s="297">
        <f>1697.73783</f>
        <v>1697.73783</v>
      </c>
      <c r="G160" s="42">
        <f>D160-F160-F161</f>
        <v>551.36279999999988</v>
      </c>
      <c r="H160" s="297">
        <f>1607.82759</f>
        <v>1607.8275900000001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1512.89937</f>
        <v>1512.8993700000001</v>
      </c>
      <c r="G161" s="219"/>
      <c r="H161" s="148">
        <f>1698.15957</f>
        <v>1698.15957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0.03696</f>
        <v>3.696E-2</v>
      </c>
      <c r="F162" s="166">
        <f>97.04085</f>
        <v>97.040850000000006</v>
      </c>
      <c r="G162" s="166">
        <f>D162-F162</f>
        <v>102.95914999999999</v>
      </c>
      <c r="H162" s="166">
        <f>123.93489</f>
        <v>123.93489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7.8586900000000002</v>
      </c>
      <c r="F163" s="175">
        <f>F164+F165+F166</f>
        <v>5505.257630000001</v>
      </c>
      <c r="G163" s="175">
        <f>D163-F163</f>
        <v>136.74236999999903</v>
      </c>
      <c r="H163" s="175">
        <f>H164+H165+H166</f>
        <v>6001.0915500000001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2.28292</f>
        <v>2.2829199999999998</v>
      </c>
      <c r="F164" s="123">
        <f>3084.7002</f>
        <v>3084.7002000000002</v>
      </c>
      <c r="G164" s="123"/>
      <c r="H164" s="123">
        <f>3093.13285</f>
        <v>3093.13285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1.78957</f>
        <v>1.7895700000000001</v>
      </c>
      <c r="F165" s="123">
        <f>1607.46322</f>
        <v>1607.4632200000001</v>
      </c>
      <c r="G165" s="123"/>
      <c r="H165" s="123">
        <f>1833.93591</f>
        <v>1833.9359099999999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3.7862</f>
        <v>3.7862</v>
      </c>
      <c r="F166" s="186">
        <f>813.09421</f>
        <v>813.09420999999998</v>
      </c>
      <c r="G166" s="186"/>
      <c r="H166" s="186">
        <f>1074.02279</f>
        <v>1074.02279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5.4845</f>
        <v>5.4844999999999997</v>
      </c>
      <c r="G167" s="136">
        <f>D167-F167</f>
        <v>65.515500000000003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212.74645999999998</v>
      </c>
      <c r="F169" s="188">
        <f>F160+F161+F162+F163+F167+F168</f>
        <v>8818.420180000001</v>
      </c>
      <c r="G169" s="188">
        <f>D169-F169</f>
        <v>856.57981999999902</v>
      </c>
      <c r="H169" s="188">
        <f>H160+H161+H162+H163+H167+H168</f>
        <v>9431.0136000000002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107.99304</f>
        <v>107.99303999999999</v>
      </c>
      <c r="G189" s="124">
        <f>45485.69502</f>
        <v>45485.695019999999</v>
      </c>
      <c r="H189" s="124">
        <f>E189-G189</f>
        <v>-2150.6950199999992</v>
      </c>
      <c r="I189" s="124">
        <f>43951.10231</f>
        <v>43951.102310000002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0.1672</f>
        <v>0.16719999999999999</v>
      </c>
      <c r="G190" s="124">
        <f>50.6275</f>
        <v>50.627499999999998</v>
      </c>
      <c r="H190" s="124">
        <f>E190-G190</f>
        <v>49.372500000000002</v>
      </c>
      <c r="I190" s="124">
        <f>44.65354</f>
        <v>44.65354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108.16023999999999</v>
      </c>
      <c r="G192" s="190">
        <f>SUM(G189:G191)</f>
        <v>45536.322520000002</v>
      </c>
      <c r="H192" s="190">
        <f>E192-G192</f>
        <v>-2065.3225200000015</v>
      </c>
      <c r="I192" s="190">
        <f>SUM(I189:I191)</f>
        <v>43995.755850000001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6.9852999999999996</v>
      </c>
      <c r="F202" s="72">
        <f>F203+F204</f>
        <v>4116.866</v>
      </c>
      <c r="G202" s="72">
        <f>D202-F202</f>
        <v>-129.86599999999999</v>
      </c>
      <c r="H202" s="72">
        <f>H203+H204</f>
        <v>4389.2092699999994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5.3004</f>
        <v>5.3003999999999998</v>
      </c>
      <c r="F203" s="72">
        <f>3286.60767</f>
        <v>3286.6076699999999</v>
      </c>
      <c r="G203" s="72"/>
      <c r="H203" s="72">
        <f>3704.66947</f>
        <v>3704.6694699999998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1.6849</f>
        <v>1.6849000000000001</v>
      </c>
      <c r="F204" s="124">
        <f>830.25833</f>
        <v>830.25833</v>
      </c>
      <c r="G204" s="168"/>
      <c r="H204" s="124">
        <f>684.5398</f>
        <v>684.53980000000001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45.18084</f>
        <v>45.180840000000003</v>
      </c>
      <c r="F205" s="72">
        <f>4944.22573</f>
        <v>4944.2257300000001</v>
      </c>
      <c r="G205" s="72">
        <f>D205-F205</f>
        <v>-331.22573000000011</v>
      </c>
      <c r="H205" s="72">
        <f>5593.95998</f>
        <v>5593.9599799999996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52.166140000000006</v>
      </c>
      <c r="F206" s="190">
        <f>SUM(F202,F205)</f>
        <v>9061.0917300000001</v>
      </c>
      <c r="G206" s="190">
        <f>D206-F206</f>
        <v>-461.0917300000001</v>
      </c>
      <c r="H206" s="190">
        <f>SUM(H202,H205)</f>
        <v>9983.169249999999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1.8827</v>
      </c>
      <c r="F215" s="72">
        <f>F216+F217</f>
        <v>5630.6348200000002</v>
      </c>
      <c r="G215" s="72">
        <f>D215-F215</f>
        <v>-540.63482000000022</v>
      </c>
      <c r="H215" s="72">
        <f>H216+H217</f>
        <v>5487.0390900000002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0.2844</f>
        <v>0.28439999999999999</v>
      </c>
      <c r="F216" s="72">
        <f>5192.89095</f>
        <v>5192.89095</v>
      </c>
      <c r="G216" s="72"/>
      <c r="H216" s="72">
        <f>4910.15827</f>
        <v>4910.1582699999999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1.5983</f>
        <v>1.5983000000000001</v>
      </c>
      <c r="F217" s="124">
        <f>437.74387</f>
        <v>437.74387000000002</v>
      </c>
      <c r="G217" s="168"/>
      <c r="H217" s="124">
        <f>576.88082</f>
        <v>576.88081999999997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188.78144</f>
        <v>188.78144</v>
      </c>
      <c r="F218" s="72">
        <f>3515.20483</f>
        <v>3515.2048300000001</v>
      </c>
      <c r="G218" s="72">
        <f>D218-F218</f>
        <v>-534.20483000000013</v>
      </c>
      <c r="H218" s="72">
        <f>3483.50917</f>
        <v>3483.5091699999998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190.66414</v>
      </c>
      <c r="F219" s="190">
        <f>SUM(F215,F218)</f>
        <v>9145.8396499999999</v>
      </c>
      <c r="G219" s="190">
        <f>D219-F219</f>
        <v>-1074.8396499999999</v>
      </c>
      <c r="H219" s="190">
        <f>SUM(H215,H218)</f>
        <v>8970.5482599999996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1.50006</f>
        <v>1.5000599999999999</v>
      </c>
      <c r="F237" s="124">
        <f>641.85667</f>
        <v>641.85667000000001</v>
      </c>
      <c r="G237" s="124">
        <f>D237-F237</f>
        <v>158.14332999999999</v>
      </c>
      <c r="H237" s="124">
        <f>686.06251</f>
        <v>686.06250999999997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20.84914</f>
        <v>20.849139999999998</v>
      </c>
      <c r="F238" s="124">
        <f>1600.66955</f>
        <v>1600.6695500000001</v>
      </c>
      <c r="G238" s="124">
        <f>D238-F238</f>
        <v>592.33044999999993</v>
      </c>
      <c r="H238" s="124">
        <f>2633.62155</f>
        <v>2633.6215499999998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3.78662</f>
        <v>3.7866200000000001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2.54029</f>
        <v>2.5402900000000002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22.3492</v>
      </c>
      <c r="F241" s="190">
        <f>SUM(F237:F240)</f>
        <v>2248.8487500000001</v>
      </c>
      <c r="G241" s="190">
        <f>D241-F241</f>
        <v>754.15124999999989</v>
      </c>
      <c r="H241" s="190">
        <f>H237+H238+H239+H240</f>
        <v>3326.0109699999994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6.5156399999999994</v>
      </c>
      <c r="G262" s="276">
        <f t="shared" si="17"/>
        <v>27516.652350000004</v>
      </c>
      <c r="H262" s="276">
        <f>H266+H265+H264+H263</f>
        <v>219.34764999999879</v>
      </c>
      <c r="I262" s="276">
        <f t="shared" si="17"/>
        <v>20203.467049999999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18741.43643</f>
        <v>18741.436430000002</v>
      </c>
      <c r="H263" s="280">
        <f t="shared" ref="H263:H267" si="18">E263-G263</f>
        <v>-2071.4364300000016</v>
      </c>
      <c r="I263" s="280">
        <f>13104.53973</f>
        <v>13104.53973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3777.79773</f>
        <v>3777.7977299999998</v>
      </c>
      <c r="H264" s="280">
        <f>E264-G264</f>
        <v>561.20227000000023</v>
      </c>
      <c r="I264" s="280">
        <f>2382.55392</f>
        <v>2382.5539199999998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5.17524</f>
        <v>5.1752399999999996</v>
      </c>
      <c r="G265" s="280">
        <f>1787.357</f>
        <v>1787.357</v>
      </c>
      <c r="H265" s="280">
        <f t="shared" si="18"/>
        <v>-216.35699999999997</v>
      </c>
      <c r="I265" s="280">
        <f>2168.78949</f>
        <v>2168.7894900000001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1.3404</f>
        <v>1.3404</v>
      </c>
      <c r="G266" s="280">
        <f>3210.06119</f>
        <v>3210.0611899999999</v>
      </c>
      <c r="H266" s="280">
        <f t="shared" si="18"/>
        <v>1945.9388100000001</v>
      </c>
      <c r="I266" s="280">
        <f>2547.58391</f>
        <v>2547.5839099999998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0.773</f>
        <v>0.77300000000000002</v>
      </c>
      <c r="G267" s="290">
        <f>4151.56724</f>
        <v>4151.5672400000003</v>
      </c>
      <c r="H267" s="290">
        <f t="shared" si="18"/>
        <v>1348.4327599999997</v>
      </c>
      <c r="I267" s="290">
        <f>2171.77478</f>
        <v>2171.7747800000002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74.800129999999996</v>
      </c>
      <c r="G268" s="291">
        <f>G270+G269</f>
        <v>3833.9131600000001</v>
      </c>
      <c r="H268" s="291">
        <f>E268-G268</f>
        <v>4166.0868399999999</v>
      </c>
      <c r="I268" s="291">
        <f>I270+I269</f>
        <v>4248.2629900000002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546.34314</f>
        <v>546.34313999999995</v>
      </c>
      <c r="H269" s="280"/>
      <c r="I269" s="280">
        <f>1065.82857</f>
        <v>1065.8285699999999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74.80013</f>
        <v>74.800129999999996</v>
      </c>
      <c r="G270" s="299">
        <f>3287.57002</f>
        <v>3287.5700200000001</v>
      </c>
      <c r="H270" s="299"/>
      <c r="I270" s="299">
        <f>3182.43442</f>
        <v>3182.43442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4.61923</f>
        <v>4.6192299999999999</v>
      </c>
      <c r="G272" s="290">
        <f>194.18184</f>
        <v>194.18183999999999</v>
      </c>
      <c r="H272" s="290">
        <f>E272-G272</f>
        <v>-194.18183999999999</v>
      </c>
      <c r="I272" s="290">
        <f>133.88631</f>
        <v>133.88631000000001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86.707999999999998</v>
      </c>
      <c r="G273" s="308">
        <f t="shared" si="19"/>
        <v>35697.067090000004</v>
      </c>
      <c r="H273" s="308">
        <f>H262+H267+H268+H271+H272</f>
        <v>5551.9329099999986</v>
      </c>
      <c r="I273" s="308">
        <f t="shared" si="19"/>
        <v>26757.547630000001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925.70793000000003</v>
      </c>
      <c r="G294" s="82">
        <f>D294-F294</f>
        <v>-146.70793000000003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684.79675</f>
        <v>684.79674999999997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24.994800000000001</v>
      </c>
      <c r="F297" s="25">
        <f>SUM(F298:F299)</f>
        <v>203.3554</v>
      </c>
      <c r="G297" s="82">
        <f>D297-F297</f>
        <v>575.64459999999997</v>
      </c>
      <c r="H297" s="25">
        <f>SUM(H298:H299)</f>
        <v>278.74864000000002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17.9415</f>
        <v>17.941500000000001</v>
      </c>
      <c r="F298" s="29">
        <f>152.7828</f>
        <v>152.78280000000001</v>
      </c>
      <c r="G298" s="94"/>
      <c r="H298" s="29">
        <f>200.2435</f>
        <v>200.24350000000001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7.0533</f>
        <v>7.0533000000000001</v>
      </c>
      <c r="F299" s="29">
        <f>50.5726</f>
        <v>50.572600000000001</v>
      </c>
      <c r="G299" s="105"/>
      <c r="H299" s="29">
        <f>78.50514</f>
        <v>78.505139999999997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24.994800000000001</v>
      </c>
      <c r="F304" s="39">
        <f>F294+F297+F300+F303</f>
        <v>1129.06333</v>
      </c>
      <c r="G304" s="40">
        <f>D304-F304</f>
        <v>1208.93667</v>
      </c>
      <c r="H304" s="39">
        <f>H294+H297+H300+H303</f>
        <v>1301.95452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6.44337</f>
        <v>6.4433699999999998</v>
      </c>
      <c r="F322" s="29">
        <f>1147.9962</f>
        <v>1147.9962</v>
      </c>
      <c r="G322" s="238">
        <f>D322-F322</f>
        <v>-899.99620000000004</v>
      </c>
      <c r="H322" s="29">
        <f>674.46852</f>
        <v>674.46852000000001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11.40748</f>
        <v>11.40748</v>
      </c>
      <c r="F323" s="29">
        <f>2213.42566</f>
        <v>2213.4256599999999</v>
      </c>
      <c r="G323" s="241">
        <f>D323-F323</f>
        <v>19834.574339999999</v>
      </c>
      <c r="H323" s="29">
        <f>2294.52347</f>
        <v>2294.5234700000001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17.850850000000001</v>
      </c>
      <c r="F324" s="39">
        <f>F323+F322</f>
        <v>3361.4218599999999</v>
      </c>
      <c r="G324" s="39">
        <f>G323+G322</f>
        <v>18934.578139999998</v>
      </c>
      <c r="H324" s="39">
        <f>H323+H322</f>
        <v>2968.99199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49&amp;R08.12.2025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2025-12-08T13:46:43Z</dcterms:modified>
</cp:coreProperties>
</file>