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0\"/>
    </mc:Choice>
  </mc:AlternateContent>
  <bookViews>
    <workbookView xWindow="0" yWindow="0" windowWidth="28800" windowHeight="14100" tabRatio="374"/>
  </bookViews>
  <sheets>
    <sheet name="UKE_41_2020" sheetId="1" r:id="rId1"/>
  </sheets>
  <definedNames>
    <definedName name="_xlnm.Print_Area" localSheetId="0">UKE_41_2020!$B$1:$M$249</definedName>
    <definedName name="Z_14D440E4_F18A_4F78_9989_38C1B133222D_.wvu.Cols" localSheetId="0" hidden="1">UKE_41_2020!#REF!</definedName>
    <definedName name="Z_14D440E4_F18A_4F78_9989_38C1B133222D_.wvu.PrintArea" localSheetId="0" hidden="1">UKE_41_2020!$B$1:$M$249</definedName>
    <definedName name="Z_14D440E4_F18A_4F78_9989_38C1B133222D_.wvu.Rows" localSheetId="0" hidden="1">UKE_41_2020!$361:$1048576,UKE_41_2020!$250:$360</definedName>
  </definedNames>
  <calcPr calcId="162913" refMode="R1C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/>
  <c r="G128" i="1"/>
  <c r="G127" i="1"/>
  <c r="J32" i="1" l="1"/>
  <c r="G29" i="1"/>
  <c r="G32" i="1"/>
  <c r="F32" i="1"/>
  <c r="I178" i="1" l="1"/>
  <c r="E161" i="1"/>
  <c r="F24" i="1"/>
  <c r="J31" i="1" l="1"/>
  <c r="F132" i="1" l="1"/>
  <c r="G132" i="1"/>
  <c r="G57" i="1" l="1"/>
  <c r="G59" i="1"/>
  <c r="G31" i="1" l="1"/>
  <c r="F31" i="1" l="1"/>
  <c r="F178" i="1" l="1"/>
  <c r="G178" i="1"/>
  <c r="I119" i="1" l="1"/>
  <c r="I132" i="1" l="1"/>
  <c r="D229" i="1" l="1"/>
  <c r="J24" i="1" l="1"/>
  <c r="J23" i="1" l="1"/>
  <c r="I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25" i="1" l="1"/>
  <c r="F124" i="1" s="1"/>
  <c r="I125" i="1" l="1"/>
  <c r="I124" i="1" s="1"/>
  <c r="I138" i="1" s="1"/>
  <c r="G23" i="1" l="1"/>
  <c r="G39" i="1" s="1"/>
  <c r="I189" i="1"/>
  <c r="F23" i="1"/>
  <c r="I31" i="1" l="1"/>
  <c r="I24" i="1"/>
  <c r="H89" i="1"/>
  <c r="H88" i="1" s="1"/>
  <c r="I23" i="1" l="1"/>
  <c r="F184" i="1" l="1"/>
  <c r="F189" i="1" s="1"/>
  <c r="G184" i="1"/>
  <c r="H184" i="1" s="1"/>
  <c r="H132" i="1"/>
  <c r="D212" i="1" l="1"/>
  <c r="F161" i="1" l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<sst xmlns="http://schemas.openxmlformats.org/spreadsheetml/2006/main" count="257" uniqueCount="136">
  <si>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</si>
  <si>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</si>
  <si>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</si>
  <si>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</si>
  <si>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</si>
  <si>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</si>
  <si>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</si>
  <si>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</si>
  <si>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</si>
  <si>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</si>
  <si>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</si>
  <si>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</si>
  <si>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</si>
  <si>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</si>
  <si>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</si>
  <si>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</si>
  <si>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</si>
  <si>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</si>
  <si>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</si>
  <si>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</si>
  <si>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</si>
  <si>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</si>
  <si>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</si>
  <si>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</si>
  <si>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</si>
  <si>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</si>
  <si>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</si>
  <si>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</si>
  <si>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</si>
  <si>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</si>
  <si>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</si>
  <si>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</si>
  <si>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</si>
  <si>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</si>
  <si>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</si>
  <si>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</si>
  <si>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</si>
  <si>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</si>
  <si>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</si>
  <si>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</si>
  <si>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</si>
  <si>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</si>
  <si>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</si>
  <si>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</si>
  <si>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</si>
  <si>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</si>
  <si>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</si>
  <si>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</si>
  <si>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</si>
  <si>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</si>
  <si>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</si>
  <si>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</si>
  <si>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</si>
  <si>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</si>
  <si>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</si>
  <si>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</si>
  <si>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</si>
  <si>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</si>
  <si>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</si>
  <si>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</si>
  <si>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</si>
  <si>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</si>
  <si>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</si>
  <si>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</si>
  <si>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</si>
  <si>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</si>
  <si>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</si>
  <si>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</si>
  <si>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</si>
  <si>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</si>
  <si>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</si>
  <si>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</si>
  <si>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</si>
  <si>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</si>
  <si>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</si>
  <si>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</si>
  <si>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</si>
  <si>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</si>
  <si>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</si>
  <si>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</si>
  <si>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</si>
  <si>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</si>
  <si>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</si>
  <si>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</si>
  <si>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</si>
  <si>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</si>
  <si>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</si>
  <si>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</si>
  <si>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</si>
  <si>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</si>
  <si>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</si>
  <si>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</si>
  <si>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</si>
  <si>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</si>
  <si>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</si>
  <si>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</si>
  <si>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</si>
  <si>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</si>
  <si>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</si>
  <si>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</si>
  <si>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</si>
  <si>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</si>
  <si>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</si>
  <si>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</si>
  <si>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</si>
  <si>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</si>
  <si>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</si>
  <si>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</si>
  <si>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</si>
  <si>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</si>
  <si>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</si>
  <si>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</si>
  <si>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</si>
  <si>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</si>
  <si>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</si>
  <si>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</si>
  <si>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</si>
  <si>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</si>
  <si>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</si>
  <si>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</si>
  <si>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</si>
  <si>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</si>
  <si>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</si>
  <si>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</si>
  <si>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</si>
  <si>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2 </t>
    </r>
    <r>
      <rPr>
        <sz val="9"/>
        <color theme="1"/>
        <rFont val="Calibri"/>
        <family val="2"/>
      </rPr>
      <t>Registrert rekreasjonsfiske utgjør 59 tonn, men det legges til grunn at hele avsetningen tas</t>
    </r>
  </si>
  <si>
    <t>JUSTERTE KVOTER</t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</si>
  <si>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</si>
  <si>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</si>
  <si>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</si>
  <si>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t>LANDET KVANTUM UKE 41</t>
  </si>
  <si>
    <t>LANDET KVANTUM T.O.M UKE 41</t>
  </si>
  <si>
    <t>LANDET KVANTUM T.O.M. UKE 41 2019</t>
  </si>
  <si>
    <r>
      <t xml:space="preserve">3 </t>
    </r>
    <r>
      <rPr>
        <sz val="9"/>
        <color theme="1"/>
        <rFont val="Calibri"/>
        <family val="2"/>
      </rPr>
      <t>Registrert rekreasjonsfiske utgjør 2 220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</si>
  <si>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 Registrert rekreasjonsfiske utgjør 557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</si>
  <si>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Det er fisket 4 457 tonn sei med konvensjonelle redskap som belastes notkvoten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</si>
</sst>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1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56" xfId="0" applyNumberFormat="1" applyFont="1" applyFill="1" applyBorder="1" applyAlignment="1">
      <alignment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3" fontId="22" fillId="0" borderId="61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4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8" xfId="0" applyFont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8" fillId="4" borderId="69" xfId="0" applyNumberFormat="1" applyFont="1" applyFill="1" applyBorder="1" applyAlignment="1">
      <alignment vertical="center" wrapText="1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1" xfId="0" applyNumberFormat="1" applyFont="1" applyFill="1" applyBorder="1" applyAlignment="1">
      <alignment horizontal="right" vertical="center" wrapText="1"/>
    </xf>
    <xf numFmtId="3" fontId="59" fillId="0" borderId="59" xfId="0" applyNumberFormat="1" applyFont="1" applyFill="1" applyBorder="1" applyAlignment="1">
      <alignment horizontal="right" vertical="center" wrapText="1"/>
    </xf>
    <xf numFmtId="3" fontId="59" fillId="0" borderId="63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61" fillId="0" borderId="60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5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8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7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60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1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60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2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9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60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65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0"/>
  <sheetViews>
    <sheetView showGridLines="0" tabSelected="1" showRuler="0" zoomScale="115" zoomScaleNormal="115" zoomScaleSheetLayoutView="100" workbookViewId="0">
      <selection activeCell="D5" sqref="D5"/>
    </sheetView>
  </sheetViews>
  <sheetFormatPr baseColWidth="10" defaultColWidth="11.42578125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customWidth="1"/>
    <col min="14" max="14" width="5.140625" customWidth="1"/>
    <col min="15" max="16" width="11.42578125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388" t="s">
        <v>99</v>
      </c>
      <c r="C2" s="389"/>
      <c r="D2" s="389"/>
      <c r="E2" s="389"/>
      <c r="F2" s="389"/>
      <c r="G2" s="389"/>
      <c r="H2" s="389"/>
      <c r="I2" s="389"/>
      <c r="J2" s="389"/>
      <c r="K2" s="390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91"/>
      <c r="C7" s="392"/>
      <c r="D7" s="392"/>
      <c r="E7" s="392"/>
      <c r="F7" s="392"/>
      <c r="G7" s="392"/>
      <c r="H7" s="392"/>
      <c r="I7" s="392"/>
      <c r="J7" s="392"/>
      <c r="K7" s="393"/>
      <c r="L7" s="196"/>
      <c r="M7" s="196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394" t="s">
        <v>2</v>
      </c>
      <c r="D9" s="395"/>
      <c r="E9" s="394" t="s">
        <v>20</v>
      </c>
      <c r="F9" s="395"/>
      <c r="G9" s="394" t="s">
        <v>21</v>
      </c>
      <c r="H9" s="395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19">
        <v>106710</v>
      </c>
      <c r="G10" s="163" t="s">
        <v>25</v>
      </c>
      <c r="H10" s="219">
        <v>27917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217934</v>
      </c>
      <c r="G11" s="163" t="s">
        <v>78</v>
      </c>
      <c r="H11" s="167">
        <v>169305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92</v>
      </c>
      <c r="F12" s="167">
        <v>18733</v>
      </c>
      <c r="G12" s="163" t="s">
        <v>79</v>
      </c>
      <c r="H12" s="167">
        <v>20712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122</v>
      </c>
      <c r="D13" s="167">
        <v>102446</v>
      </c>
      <c r="E13" s="216"/>
      <c r="F13" s="315"/>
      <c r="G13" s="165" t="s">
        <v>15</v>
      </c>
      <c r="H13" s="316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343377</v>
      </c>
      <c r="G14" s="119" t="s">
        <v>6</v>
      </c>
      <c r="H14" s="168">
        <f>SUM(H10:H13)</f>
        <v>217934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68" t="s">
        <v>124</v>
      </c>
      <c r="D15" s="268"/>
      <c r="E15" s="268"/>
      <c r="F15" s="268"/>
      <c r="G15" s="268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15"/>
      <c r="D16" s="215"/>
      <c r="E16" s="215"/>
      <c r="F16" s="215"/>
      <c r="G16" s="215"/>
      <c r="H16" s="215"/>
      <c r="I16" s="215"/>
      <c r="J16" s="191"/>
      <c r="K16" s="125"/>
      <c r="L16" s="116"/>
      <c r="M16" s="116"/>
    </row>
    <row r="17" spans="1:13" ht="21.75" customHeight="1" x14ac:dyDescent="0.25">
      <c r="B17" s="396" t="s">
        <v>8</v>
      </c>
      <c r="C17" s="397"/>
      <c r="D17" s="397"/>
      <c r="E17" s="397"/>
      <c r="F17" s="397"/>
      <c r="G17" s="397"/>
      <c r="H17" s="397"/>
      <c r="I17" s="397"/>
      <c r="J17" s="397"/>
      <c r="K17" s="398"/>
      <c r="L17" s="196"/>
      <c r="M17" s="196"/>
    </row>
    <row r="18" spans="1:13" ht="12" customHeight="1" thickBot="1" x14ac:dyDescent="0.3">
      <c r="B18" s="117"/>
      <c r="C18" s="217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69" t="s">
        <v>70</v>
      </c>
      <c r="E19" s="311" t="s">
        <v>96</v>
      </c>
      <c r="F19" s="311" t="s">
        <v>130</v>
      </c>
      <c r="G19" s="311" t="s">
        <v>131</v>
      </c>
      <c r="H19" s="311" t="s">
        <v>69</v>
      </c>
      <c r="I19" s="311" t="s">
        <v>62</v>
      </c>
      <c r="J19" s="311" t="s">
        <v>132</v>
      </c>
      <c r="K19" s="114"/>
      <c r="L19" s="4"/>
      <c r="M19" s="4"/>
    </row>
    <row r="20" spans="1:13" ht="14.1" customHeight="1" x14ac:dyDescent="0.25">
      <c r="B20" s="117"/>
      <c r="C20" s="232" t="s">
        <v>16</v>
      </c>
      <c r="D20" s="326">
        <f>D22+D21</f>
        <v>106710</v>
      </c>
      <c r="E20" s="317">
        <f>E22+E21</f>
        <v>105976</v>
      </c>
      <c r="F20" s="317">
        <f>F22+F21</f>
        <v>838.86284999999998</v>
      </c>
      <c r="G20" s="317">
        <f>G21+G22</f>
        <v>68247.069319999995</v>
      </c>
      <c r="H20" s="317"/>
      <c r="I20" s="317">
        <f>I22+I21</f>
        <v>37728.930680000005</v>
      </c>
      <c r="J20" s="317">
        <f>J22+J21</f>
        <v>66011.531950000004</v>
      </c>
      <c r="K20" s="126"/>
      <c r="L20" s="154"/>
      <c r="M20" s="154"/>
    </row>
    <row r="21" spans="1:13" ht="14.1" customHeight="1" x14ac:dyDescent="0.25">
      <c r="B21" s="117"/>
      <c r="C21" s="233" t="s">
        <v>12</v>
      </c>
      <c r="D21" s="327">
        <v>105960</v>
      </c>
      <c r="E21" s="318">
        <v>105175</v>
      </c>
      <c r="F21" s="318">
        <v>838.86284999999998</v>
      </c>
      <c r="G21" s="318">
        <v>67756.063429999995</v>
      </c>
      <c r="H21" s="318"/>
      <c r="I21" s="318">
        <f>E21-G21</f>
        <v>37418.936570000005</v>
      </c>
      <c r="J21" s="318">
        <v>65493.782570000003</v>
      </c>
      <c r="K21" s="126"/>
      <c r="L21" s="154"/>
      <c r="M21" s="154"/>
    </row>
    <row r="22" spans="1:13" ht="14.1" customHeight="1" thickBot="1" x14ac:dyDescent="0.3">
      <c r="B22" s="117"/>
      <c r="C22" s="234" t="s">
        <v>11</v>
      </c>
      <c r="D22" s="328">
        <v>750</v>
      </c>
      <c r="E22" s="319">
        <v>801</v>
      </c>
      <c r="F22" s="319"/>
      <c r="G22" s="319">
        <v>491.00589000000002</v>
      </c>
      <c r="H22" s="319"/>
      <c r="I22" s="319">
        <f>E22-G22</f>
        <v>309.99410999999998</v>
      </c>
      <c r="J22" s="319">
        <v>517.74937999999997</v>
      </c>
      <c r="K22" s="126"/>
      <c r="L22" s="154"/>
      <c r="M22" s="154"/>
    </row>
    <row r="23" spans="1:13" ht="14.1" customHeight="1" x14ac:dyDescent="0.25">
      <c r="B23" s="117"/>
      <c r="C23" s="232" t="s">
        <v>17</v>
      </c>
      <c r="D23" s="326">
        <f>D31+D30+D24</f>
        <v>223234</v>
      </c>
      <c r="E23" s="317">
        <f>E31+E30+E24</f>
        <v>213782</v>
      </c>
      <c r="F23" s="317">
        <f>F31+F30+F24</f>
        <v>875.73730999999998</v>
      </c>
      <c r="G23" s="317">
        <f>G24+G30+G31</f>
        <v>195771.96593999999</v>
      </c>
      <c r="H23" s="317"/>
      <c r="I23" s="317">
        <f>I24+I30+I31</f>
        <v>17904.034060000002</v>
      </c>
      <c r="J23" s="317">
        <f>J24+J30+J31</f>
        <v>193199.23654799999</v>
      </c>
      <c r="K23" s="126"/>
      <c r="L23" s="154"/>
      <c r="M23" s="154"/>
    </row>
    <row r="24" spans="1:13" ht="15" customHeight="1" x14ac:dyDescent="0.25">
      <c r="A24" s="21"/>
      <c r="B24" s="127"/>
      <c r="C24" s="239" t="s">
        <v>80</v>
      </c>
      <c r="D24" s="329">
        <f>D25+D26+D27+D28+D29</f>
        <v>174605</v>
      </c>
      <c r="E24" s="320">
        <f>E25+E26+E27+E28+E29</f>
        <v>165351</v>
      </c>
      <c r="F24" s="320">
        <f>F25+F26+F27+F28</f>
        <v>778.90900999999997</v>
      </c>
      <c r="G24" s="320">
        <f>G25+G26+G27+G28</f>
        <v>155526.03227</v>
      </c>
      <c r="H24" s="320"/>
      <c r="I24" s="320">
        <f>I25+I26+I27+I28+I29</f>
        <v>9824.9677300000003</v>
      </c>
      <c r="J24" s="320">
        <f>J25+J26+J27+J28</f>
        <v>158100.22614799999</v>
      </c>
      <c r="K24" s="126"/>
      <c r="L24" s="154"/>
      <c r="M24" s="154"/>
    </row>
    <row r="25" spans="1:13" ht="14.1" customHeight="1" x14ac:dyDescent="0.25">
      <c r="A25" s="22"/>
      <c r="B25" s="128"/>
      <c r="C25" s="238" t="s">
        <v>22</v>
      </c>
      <c r="D25" s="330">
        <v>41189</v>
      </c>
      <c r="E25" s="321">
        <v>39029</v>
      </c>
      <c r="F25" s="321">
        <v>137.73034999999999</v>
      </c>
      <c r="G25" s="321">
        <v>39930.82604</v>
      </c>
      <c r="H25" s="321">
        <v>2264</v>
      </c>
      <c r="I25" s="321">
        <f>E25-G25+H25</f>
        <v>1362.1739600000001</v>
      </c>
      <c r="J25" s="321">
        <v>42832.050869999999</v>
      </c>
      <c r="K25" s="126"/>
      <c r="L25" s="154"/>
      <c r="M25" s="154"/>
    </row>
    <row r="26" spans="1:13" ht="14.1" customHeight="1" x14ac:dyDescent="0.25">
      <c r="A26" s="22"/>
      <c r="B26" s="128"/>
      <c r="C26" s="238" t="s">
        <v>59</v>
      </c>
      <c r="D26" s="330">
        <v>45257</v>
      </c>
      <c r="E26" s="321">
        <v>41911</v>
      </c>
      <c r="F26" s="321">
        <v>327.57040000000001</v>
      </c>
      <c r="G26" s="321">
        <v>41983.222970000003</v>
      </c>
      <c r="H26" s="321">
        <v>3014</v>
      </c>
      <c r="I26" s="321">
        <f>E26-G26+H26</f>
        <v>2941.7770299999975</v>
      </c>
      <c r="J26" s="321">
        <v>42952.031600000002</v>
      </c>
      <c r="K26" s="126"/>
      <c r="L26" s="154"/>
      <c r="M26" s="154"/>
    </row>
    <row r="27" spans="1:13" ht="14.1" customHeight="1" x14ac:dyDescent="0.25">
      <c r="A27" s="22"/>
      <c r="B27" s="128"/>
      <c r="C27" s="238" t="s">
        <v>60</v>
      </c>
      <c r="D27" s="330">
        <v>42190</v>
      </c>
      <c r="E27" s="321">
        <v>42357</v>
      </c>
      <c r="F27" s="321">
        <v>244.60002</v>
      </c>
      <c r="G27" s="321">
        <v>44215.784529999997</v>
      </c>
      <c r="H27" s="321">
        <v>3848</v>
      </c>
      <c r="I27" s="321">
        <f>E27-G27+H27</f>
        <v>1989.2154700000028</v>
      </c>
      <c r="J27" s="321">
        <v>42500.621612000003</v>
      </c>
      <c r="K27" s="126"/>
      <c r="L27" s="154"/>
      <c r="M27" s="154"/>
    </row>
    <row r="28" spans="1:13" ht="14.1" customHeight="1" x14ac:dyDescent="0.25">
      <c r="A28" s="22"/>
      <c r="B28" s="128"/>
      <c r="C28" s="238" t="s">
        <v>82</v>
      </c>
      <c r="D28" s="330">
        <v>30699</v>
      </c>
      <c r="E28" s="321">
        <v>28468</v>
      </c>
      <c r="F28" s="321">
        <v>69.008240000000001</v>
      </c>
      <c r="G28" s="321">
        <v>29396.19873</v>
      </c>
      <c r="H28" s="321">
        <v>2026</v>
      </c>
      <c r="I28" s="321">
        <f>E28-G28+H28</f>
        <v>1097.8012699999999</v>
      </c>
      <c r="J28" s="321">
        <v>29815.522066000001</v>
      </c>
      <c r="K28" s="126"/>
      <c r="L28" s="154"/>
      <c r="M28" s="154"/>
    </row>
    <row r="29" spans="1:13" ht="14.1" customHeight="1" x14ac:dyDescent="0.25">
      <c r="A29" s="22"/>
      <c r="B29" s="128"/>
      <c r="C29" s="238" t="s">
        <v>83</v>
      </c>
      <c r="D29" s="330">
        <v>15270</v>
      </c>
      <c r="E29" s="321">
        <v>13586</v>
      </c>
      <c r="F29" s="321">
        <v>515</v>
      </c>
      <c r="G29" s="321">
        <f>H25+H26+H27+H28</f>
        <v>11152</v>
      </c>
      <c r="H29" s="321"/>
      <c r="I29" s="321">
        <f>E29-G29</f>
        <v>2434</v>
      </c>
      <c r="J29" s="321">
        <v>9486</v>
      </c>
      <c r="K29" s="126"/>
      <c r="L29" s="154"/>
      <c r="M29" s="154"/>
    </row>
    <row r="30" spans="1:13" ht="14.1" customHeight="1" x14ac:dyDescent="0.25">
      <c r="A30" s="23"/>
      <c r="B30" s="127"/>
      <c r="C30" s="239" t="s">
        <v>18</v>
      </c>
      <c r="D30" s="329">
        <v>27917</v>
      </c>
      <c r="E30" s="320">
        <v>28138</v>
      </c>
      <c r="F30" s="320">
        <v>33.828299999999999</v>
      </c>
      <c r="G30" s="320">
        <v>19764.933669999999</v>
      </c>
      <c r="H30" s="320"/>
      <c r="I30" s="320">
        <f>E30-G30</f>
        <v>8373.0663300000015</v>
      </c>
      <c r="J30" s="320">
        <v>16055.010399999999</v>
      </c>
      <c r="K30" s="126"/>
      <c r="L30" s="154"/>
      <c r="M30" s="154"/>
    </row>
    <row r="31" spans="1:13" ht="14.1" customHeight="1" x14ac:dyDescent="0.25">
      <c r="A31" s="23"/>
      <c r="B31" s="127"/>
      <c r="C31" s="239" t="s">
        <v>81</v>
      </c>
      <c r="D31" s="329">
        <f>D32+D33</f>
        <v>20712</v>
      </c>
      <c r="E31" s="320">
        <f>E32+E33</f>
        <v>20293</v>
      </c>
      <c r="F31" s="320">
        <f>F32</f>
        <v>63</v>
      </c>
      <c r="G31" s="320">
        <f>G32</f>
        <v>20481</v>
      </c>
      <c r="H31" s="320"/>
      <c r="I31" s="320">
        <f>I32+I33</f>
        <v>-294</v>
      </c>
      <c r="J31" s="320">
        <f>J32</f>
        <v>19044</v>
      </c>
      <c r="K31" s="126"/>
      <c r="L31" s="154"/>
      <c r="M31" s="154"/>
    </row>
    <row r="32" spans="1:13" ht="14.1" customHeight="1" x14ac:dyDescent="0.25">
      <c r="A32" s="22"/>
      <c r="B32" s="128"/>
      <c r="C32" s="238" t="s">
        <v>10</v>
      </c>
      <c r="D32" s="330">
        <v>18842</v>
      </c>
      <c r="E32" s="321">
        <v>18423</v>
      </c>
      <c r="F32" s="321">
        <f>66-F36</f>
        <v>63</v>
      </c>
      <c r="G32" s="321">
        <f>23579-G36</f>
        <v>20481</v>
      </c>
      <c r="H32" s="321">
        <v>1331</v>
      </c>
      <c r="I32" s="321">
        <f>E32-G32+H32</f>
        <v>-727</v>
      </c>
      <c r="J32" s="321">
        <f>22435-J36</f>
        <v>19044</v>
      </c>
      <c r="K32" s="126"/>
      <c r="L32" s="154"/>
      <c r="M32" s="154"/>
    </row>
    <row r="33" spans="1:13" ht="14.1" customHeight="1" thickBot="1" x14ac:dyDescent="0.3">
      <c r="A33" s="22"/>
      <c r="B33" s="128"/>
      <c r="C33" s="270" t="s">
        <v>84</v>
      </c>
      <c r="D33" s="331">
        <v>1870</v>
      </c>
      <c r="E33" s="322">
        <v>1870</v>
      </c>
      <c r="F33" s="322">
        <v>49</v>
      </c>
      <c r="G33" s="322">
        <v>1437</v>
      </c>
      <c r="H33" s="322"/>
      <c r="I33" s="322">
        <f t="shared" ref="I33:I38" si="0">E33-G33</f>
        <v>433</v>
      </c>
      <c r="J33" s="322">
        <v>1028</v>
      </c>
      <c r="K33" s="126"/>
      <c r="L33" s="154"/>
      <c r="M33" s="154"/>
    </row>
    <row r="34" spans="1:13" ht="15.75" customHeight="1" thickBot="1" x14ac:dyDescent="0.3">
      <c r="B34" s="117"/>
      <c r="C34" s="171" t="s">
        <v>106</v>
      </c>
      <c r="D34" s="332">
        <v>2500</v>
      </c>
      <c r="E34" s="323">
        <v>2500</v>
      </c>
      <c r="F34" s="323"/>
      <c r="G34" s="323">
        <v>1124.75325</v>
      </c>
      <c r="H34" s="323"/>
      <c r="I34" s="323">
        <f t="shared" si="0"/>
        <v>1375.24675</v>
      </c>
      <c r="J34" s="323">
        <v>2839.9100319999998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333">
        <v>933</v>
      </c>
      <c r="E35" s="323">
        <v>933</v>
      </c>
      <c r="F35" s="323"/>
      <c r="G35" s="323">
        <v>473.74669</v>
      </c>
      <c r="H35" s="323"/>
      <c r="I35" s="323">
        <f t="shared" si="0"/>
        <v>459.25331</v>
      </c>
      <c r="J35" s="323">
        <v>469.11658</v>
      </c>
      <c r="K35" s="126"/>
      <c r="L35" s="154"/>
      <c r="M35" s="154"/>
    </row>
    <row r="36" spans="1:13" ht="17.25" customHeight="1" thickBot="1" x14ac:dyDescent="0.3">
      <c r="B36" s="117"/>
      <c r="C36" s="171" t="s">
        <v>107</v>
      </c>
      <c r="D36" s="333">
        <v>3000</v>
      </c>
      <c r="E36" s="324">
        <v>3000</v>
      </c>
      <c r="F36" s="324">
        <v>3</v>
      </c>
      <c r="G36" s="324">
        <v>3098</v>
      </c>
      <c r="H36" s="324"/>
      <c r="I36" s="324">
        <f t="shared" si="0"/>
        <v>-98</v>
      </c>
      <c r="J36" s="324">
        <v>3391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333">
        <v>7000</v>
      </c>
      <c r="E37" s="324">
        <v>7000</v>
      </c>
      <c r="F37" s="324">
        <v>5</v>
      </c>
      <c r="G37" s="324">
        <v>7000</v>
      </c>
      <c r="H37" s="324"/>
      <c r="I37" s="324">
        <f t="shared" si="0"/>
        <v>0</v>
      </c>
      <c r="J37" s="324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109</v>
      </c>
      <c r="D38" s="333">
        <v>0</v>
      </c>
      <c r="E38" s="324">
        <v>0</v>
      </c>
      <c r="F38" s="324"/>
      <c r="G38" s="324">
        <v>95</v>
      </c>
      <c r="H38" s="324"/>
      <c r="I38" s="324">
        <f t="shared" si="0"/>
        <v>-95</v>
      </c>
      <c r="J38" s="324">
        <v>117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334">
        <f>D20+D23+D34+D35+D36+D37+D38</f>
        <v>343377</v>
      </c>
      <c r="E39" s="325">
        <f>E20+E23+E34+E35+E36+E37+E38</f>
        <v>333191</v>
      </c>
      <c r="F39" s="325">
        <f>F20+F23+F34+F35+F37+F38+F36</f>
        <v>1722.60016</v>
      </c>
      <c r="G39" s="325">
        <f>G20+G23+G34+G35+G36+G37+G38</f>
        <v>275810.53519999998</v>
      </c>
      <c r="H39" s="325">
        <f>H25+H26+H27+H28+H32</f>
        <v>12483</v>
      </c>
      <c r="I39" s="325">
        <f>I20+I23+I34+I35+I36+I37+I38</f>
        <v>57274.464800000009</v>
      </c>
      <c r="J39" s="325">
        <f>J20+J23+J34+J35+J36+J37+J38</f>
        <v>273027.79510999995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105</v>
      </c>
      <c r="D40" s="129"/>
      <c r="E40" s="129"/>
      <c r="F40" s="169"/>
      <c r="G40" s="169"/>
      <c r="H40" s="161"/>
      <c r="I40" s="161"/>
      <c r="J40" s="292"/>
      <c r="K40" s="291"/>
      <c r="L40" s="121"/>
      <c r="M40" s="121"/>
    </row>
    <row r="41" spans="1:13" s="16" customFormat="1" ht="14.1" customHeight="1" x14ac:dyDescent="0.25">
      <c r="B41" s="120"/>
      <c r="C41" s="130" t="s">
        <v>111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3" t="s">
        <v>133</v>
      </c>
      <c r="D42" s="195"/>
      <c r="E42" s="195"/>
      <c r="F42" s="195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3" t="s">
        <v>108</v>
      </c>
      <c r="D43" s="195"/>
      <c r="E43" s="195"/>
      <c r="F43" s="195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110</v>
      </c>
      <c r="D44" s="275"/>
      <c r="E44" s="275"/>
      <c r="F44" s="275"/>
      <c r="G44" s="276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6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91" t="s">
        <v>1</v>
      </c>
      <c r="C47" s="392"/>
      <c r="D47" s="392"/>
      <c r="E47" s="392"/>
      <c r="F47" s="392"/>
      <c r="G47" s="392"/>
      <c r="H47" s="392"/>
      <c r="I47" s="392"/>
      <c r="J47" s="392"/>
      <c r="K47" s="393"/>
      <c r="L47" s="196"/>
      <c r="M47" s="196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383" t="s">
        <v>2</v>
      </c>
      <c r="D49" s="384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20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20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20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20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21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396" t="s">
        <v>8</v>
      </c>
      <c r="C55" s="397"/>
      <c r="D55" s="397"/>
      <c r="E55" s="397"/>
      <c r="F55" s="397"/>
      <c r="G55" s="397"/>
      <c r="H55" s="397"/>
      <c r="I55" s="397"/>
      <c r="J55" s="397"/>
      <c r="K55" s="398"/>
      <c r="L55" s="196"/>
      <c r="M55" s="196"/>
    </row>
    <row r="56" spans="2:13" s="3" customFormat="1" ht="63.75" thickBot="1" x14ac:dyDescent="0.3">
      <c r="B56" s="140"/>
      <c r="C56" s="176" t="s">
        <v>19</v>
      </c>
      <c r="D56" s="313" t="s">
        <v>20</v>
      </c>
      <c r="E56" s="294" t="str">
        <f>F19</f>
        <v>LANDET KVANTUM UKE 41</v>
      </c>
      <c r="F56" s="176" t="str">
        <f>G19</f>
        <v>LANDET KVANTUM T.O.M UKE 41</v>
      </c>
      <c r="G56" s="312" t="str">
        <f>I19</f>
        <v>RESTKVOTER</v>
      </c>
      <c r="H56" s="176" t="str">
        <f>J19</f>
        <v>LANDET KVANTUM T.O.M. UKE 41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277" t="s">
        <v>32</v>
      </c>
      <c r="D57" s="408">
        <v>5386</v>
      </c>
      <c r="E57" s="335">
        <v>41.945309999999999</v>
      </c>
      <c r="F57" s="335">
        <v>1438.4169999999999</v>
      </c>
      <c r="G57" s="410">
        <f>D57-F57-F58</f>
        <v>2210.1292100000001</v>
      </c>
      <c r="H57" s="335">
        <v>1569.8521699999999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09"/>
      <c r="E58" s="336"/>
      <c r="F58" s="336">
        <v>1737.45379</v>
      </c>
      <c r="G58" s="411"/>
      <c r="H58" s="336">
        <v>1582.59058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23">
        <v>200</v>
      </c>
      <c r="E59" s="337"/>
      <c r="F59" s="337">
        <v>101.48663999999999</v>
      </c>
      <c r="G59" s="338">
        <f>D59-F59</f>
        <v>98.513360000000006</v>
      </c>
      <c r="H59" s="337">
        <v>81.037610000000001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39">
        <v>8078</v>
      </c>
      <c r="E60" s="339">
        <f>E61+E62+E63</f>
        <v>36.563499999999998</v>
      </c>
      <c r="F60" s="339">
        <f>F61+F62+F63</f>
        <v>7780.0029799999993</v>
      </c>
      <c r="G60" s="340">
        <f>D60-F60</f>
        <v>297.9970200000007</v>
      </c>
      <c r="H60" s="339">
        <f>H61+H62+H63</f>
        <v>8247.3001299999996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41"/>
      <c r="E61" s="341">
        <v>6.8601999999999999</v>
      </c>
      <c r="F61" s="341">
        <v>3792.0884999999998</v>
      </c>
      <c r="G61" s="342"/>
      <c r="H61" s="341">
        <v>3513.9884099999999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41"/>
      <c r="E62" s="341">
        <v>19.068300000000001</v>
      </c>
      <c r="F62" s="341">
        <v>2477.2103400000001</v>
      </c>
      <c r="G62" s="342"/>
      <c r="H62" s="341">
        <v>3121.3646199999998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1" t="s">
        <v>35</v>
      </c>
      <c r="D63" s="343"/>
      <c r="E63" s="343">
        <v>10.635</v>
      </c>
      <c r="F63" s="343">
        <v>1510.7041400000001</v>
      </c>
      <c r="G63" s="344"/>
      <c r="H63" s="343">
        <v>1611.9471000000001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45">
        <v>91</v>
      </c>
      <c r="E64" s="345"/>
      <c r="F64" s="345"/>
      <c r="G64" s="346">
        <f>D64-F64</f>
        <v>91</v>
      </c>
      <c r="H64" s="345">
        <v>6.4350000000000004E-2</v>
      </c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293" t="s">
        <v>14</v>
      </c>
      <c r="D65" s="347"/>
      <c r="E65" s="347"/>
      <c r="F65" s="347"/>
      <c r="G65" s="348"/>
      <c r="H65" s="347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25">
        <f>D57+D59+D60+D64</f>
        <v>13755</v>
      </c>
      <c r="E66" s="325">
        <f>E57+E58+E59+E60+E64+E65</f>
        <v>78.508809999999997</v>
      </c>
      <c r="F66" s="325">
        <f>F57+F58+F59+F60+F64+F65</f>
        <v>11057.360409999999</v>
      </c>
      <c r="G66" s="349">
        <f>D66-F66</f>
        <v>2697.6395900000007</v>
      </c>
      <c r="H66" s="325">
        <f>H57+H58+H59+H60+H64+H65</f>
        <v>11482.81684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404" t="s">
        <v>115</v>
      </c>
      <c r="D67" s="404"/>
      <c r="E67" s="404"/>
      <c r="F67" s="404"/>
      <c r="G67" s="404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91" t="s">
        <v>1</v>
      </c>
      <c r="C72" s="392"/>
      <c r="D72" s="392"/>
      <c r="E72" s="392"/>
      <c r="F72" s="392"/>
      <c r="G72" s="392"/>
      <c r="H72" s="392"/>
      <c r="I72" s="392"/>
      <c r="J72" s="392"/>
      <c r="K72" s="393"/>
      <c r="L72" s="196"/>
      <c r="M72" s="196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394" t="s">
        <v>2</v>
      </c>
      <c r="D74" s="395"/>
      <c r="E74" s="394" t="s">
        <v>20</v>
      </c>
      <c r="F74" s="399"/>
      <c r="G74" s="394" t="s">
        <v>21</v>
      </c>
      <c r="H74" s="395"/>
      <c r="I74" s="154"/>
      <c r="J74" s="154"/>
      <c r="K74" s="113"/>
      <c r="L74" s="134"/>
      <c r="M74" s="134"/>
    </row>
    <row r="75" spans="2:13" ht="15" x14ac:dyDescent="0.25">
      <c r="B75" s="222"/>
      <c r="C75" s="163" t="s">
        <v>27</v>
      </c>
      <c r="D75" s="167">
        <v>105159</v>
      </c>
      <c r="E75" s="223" t="s">
        <v>5</v>
      </c>
      <c r="F75" s="219">
        <v>40215</v>
      </c>
      <c r="G75" s="224" t="s">
        <v>25</v>
      </c>
      <c r="H75" s="219">
        <v>11810</v>
      </c>
      <c r="I75" s="164"/>
      <c r="J75" s="164"/>
      <c r="K75" s="225"/>
      <c r="L75" s="265"/>
      <c r="M75" s="134"/>
    </row>
    <row r="76" spans="2:13" ht="15" x14ac:dyDescent="0.25">
      <c r="B76" s="222"/>
      <c r="C76" s="163" t="s">
        <v>3</v>
      </c>
      <c r="D76" s="167">
        <v>96159</v>
      </c>
      <c r="E76" s="226" t="s">
        <v>6</v>
      </c>
      <c r="F76" s="167">
        <v>65613</v>
      </c>
      <c r="G76" s="224" t="s">
        <v>78</v>
      </c>
      <c r="H76" s="167">
        <v>48554</v>
      </c>
      <c r="I76" s="164"/>
      <c r="J76" s="164"/>
      <c r="K76" s="225"/>
      <c r="L76" s="265"/>
      <c r="M76" s="134"/>
    </row>
    <row r="77" spans="2:13" ht="18" thickBot="1" x14ac:dyDescent="0.3">
      <c r="B77" s="222"/>
      <c r="C77" s="163" t="s">
        <v>122</v>
      </c>
      <c r="D77" s="167">
        <v>13682</v>
      </c>
      <c r="E77" s="163" t="s">
        <v>92</v>
      </c>
      <c r="F77" s="167">
        <v>2143</v>
      </c>
      <c r="G77" s="224" t="s">
        <v>79</v>
      </c>
      <c r="H77" s="167">
        <v>5249</v>
      </c>
      <c r="I77" s="164"/>
      <c r="J77" s="164"/>
      <c r="K77" s="225"/>
      <c r="L77" s="265"/>
      <c r="M77" s="134"/>
    </row>
    <row r="78" spans="2:13" ht="14.1" customHeight="1" thickBot="1" x14ac:dyDescent="0.3">
      <c r="B78" s="222"/>
      <c r="C78" s="119" t="s">
        <v>31</v>
      </c>
      <c r="D78" s="168">
        <f>SUM(D75:D77)</f>
        <v>215000</v>
      </c>
      <c r="E78" s="119" t="s">
        <v>7</v>
      </c>
      <c r="F78" s="168">
        <f>SUM(F75:F77)</f>
        <v>107971</v>
      </c>
      <c r="G78" s="119" t="s">
        <v>6</v>
      </c>
      <c r="H78" s="168">
        <f>SUM(H75:H77)</f>
        <v>65613</v>
      </c>
      <c r="I78" s="164"/>
      <c r="J78" s="164"/>
      <c r="K78" s="227"/>
      <c r="L78" s="230"/>
      <c r="M78" s="116"/>
    </row>
    <row r="79" spans="2:13" ht="12" customHeight="1" x14ac:dyDescent="0.25">
      <c r="B79" s="222"/>
      <c r="C79" s="268" t="s">
        <v>123</v>
      </c>
      <c r="D79" s="192"/>
      <c r="E79" s="192"/>
      <c r="F79" s="192"/>
      <c r="G79" s="192"/>
      <c r="H79" s="192"/>
      <c r="I79" s="229"/>
      <c r="J79" s="230"/>
      <c r="K79" s="227"/>
      <c r="L79" s="230"/>
      <c r="M79" s="116"/>
    </row>
    <row r="80" spans="2:13" ht="14.25" customHeight="1" x14ac:dyDescent="0.25">
      <c r="B80" s="222"/>
      <c r="C80" s="403"/>
      <c r="D80" s="403"/>
      <c r="E80" s="403"/>
      <c r="F80" s="403"/>
      <c r="G80" s="403"/>
      <c r="H80" s="403"/>
      <c r="I80" s="229"/>
      <c r="J80" s="230"/>
      <c r="K80" s="227"/>
      <c r="L80" s="230"/>
      <c r="M80" s="116"/>
    </row>
    <row r="81" spans="1:13" ht="6" customHeight="1" thickBot="1" x14ac:dyDescent="0.3">
      <c r="B81" s="222"/>
      <c r="C81" s="403"/>
      <c r="D81" s="403"/>
      <c r="E81" s="403"/>
      <c r="F81" s="403"/>
      <c r="G81" s="403"/>
      <c r="H81" s="403"/>
      <c r="I81" s="230"/>
      <c r="J81" s="230"/>
      <c r="K81" s="227"/>
      <c r="L81" s="230"/>
      <c r="M81" s="116"/>
    </row>
    <row r="82" spans="1:13" ht="14.1" customHeight="1" x14ac:dyDescent="0.25">
      <c r="B82" s="400" t="s">
        <v>8</v>
      </c>
      <c r="C82" s="401"/>
      <c r="D82" s="401"/>
      <c r="E82" s="401"/>
      <c r="F82" s="401"/>
      <c r="G82" s="401"/>
      <c r="H82" s="401"/>
      <c r="I82" s="401"/>
      <c r="J82" s="401"/>
      <c r="K82" s="402"/>
      <c r="L82" s="266"/>
      <c r="M82" s="196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69" t="s">
        <v>70</v>
      </c>
      <c r="E84" s="176" t="s">
        <v>97</v>
      </c>
      <c r="F84" s="176" t="str">
        <f>F19</f>
        <v>LANDET KVANTUM UKE 41</v>
      </c>
      <c r="G84" s="176" t="str">
        <f>G19</f>
        <v>LANDET KVANTUM T.O.M UKE 41</v>
      </c>
      <c r="H84" s="176" t="str">
        <f>I19</f>
        <v>RESTKVOTER</v>
      </c>
      <c r="I84" s="176" t="str">
        <f>J19</f>
        <v>LANDET KVANTUM T.O.M. UKE 41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71" t="s">
        <v>16</v>
      </c>
      <c r="D85" s="326">
        <f>D87+D86</f>
        <v>40215</v>
      </c>
      <c r="E85" s="317">
        <f>E87+E86</f>
        <v>38762</v>
      </c>
      <c r="F85" s="317">
        <f>F87+F86</f>
        <v>139.71639999999999</v>
      </c>
      <c r="G85" s="317">
        <f>G86+G87</f>
        <v>27712.815280000003</v>
      </c>
      <c r="H85" s="317">
        <f>H86+H87</f>
        <v>11049.184719999999</v>
      </c>
      <c r="I85" s="317">
        <f>I86+I87</f>
        <v>32019.6695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33" t="s">
        <v>12</v>
      </c>
      <c r="D86" s="327">
        <v>39465</v>
      </c>
      <c r="E86" s="318">
        <v>37937</v>
      </c>
      <c r="F86" s="318">
        <v>139.71639999999999</v>
      </c>
      <c r="G86" s="318">
        <v>27466.727480000001</v>
      </c>
      <c r="H86" s="318">
        <f>E86-G86</f>
        <v>10470.272519999999</v>
      </c>
      <c r="I86" s="318">
        <v>31650.07517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72" t="s">
        <v>11</v>
      </c>
      <c r="D87" s="328">
        <v>750</v>
      </c>
      <c r="E87" s="319">
        <v>825</v>
      </c>
      <c r="F87" s="319"/>
      <c r="G87" s="319">
        <v>246.08779999999999</v>
      </c>
      <c r="H87" s="319">
        <f>E87-G87</f>
        <v>578.91219999999998</v>
      </c>
      <c r="I87" s="319">
        <v>369.59433000000001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32" t="s">
        <v>17</v>
      </c>
      <c r="D88" s="326">
        <f t="shared" ref="D88" si="1">D89+D94+D95</f>
        <v>67105</v>
      </c>
      <c r="E88" s="317">
        <f t="shared" ref="E88:I88" si="2">E89+E94+E95</f>
        <v>70774</v>
      </c>
      <c r="F88" s="317">
        <f t="shared" si="2"/>
        <v>744.60806000000002</v>
      </c>
      <c r="G88" s="317">
        <f t="shared" si="2"/>
        <v>43057.120790000001</v>
      </c>
      <c r="H88" s="317">
        <f>H89+H94+H95</f>
        <v>27716.879209999999</v>
      </c>
      <c r="I88" s="317">
        <f t="shared" si="2"/>
        <v>43174.907720000003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39" t="s">
        <v>80</v>
      </c>
      <c r="D89" s="329">
        <f t="shared" ref="D89" si="3">D90+D91+D92+D93</f>
        <v>50046</v>
      </c>
      <c r="E89" s="320">
        <f t="shared" ref="E89:I89" si="4">E90+E91+E92+E93</f>
        <v>54332</v>
      </c>
      <c r="F89" s="320">
        <f t="shared" si="4"/>
        <v>618.52339999999992</v>
      </c>
      <c r="G89" s="320">
        <f t="shared" si="4"/>
        <v>34278.890610000002</v>
      </c>
      <c r="H89" s="320">
        <f>H90+H91+H92+H93</f>
        <v>20053.109389999998</v>
      </c>
      <c r="I89" s="320">
        <f t="shared" si="4"/>
        <v>33972.5213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38" t="s">
        <v>22</v>
      </c>
      <c r="D90" s="330">
        <v>13337</v>
      </c>
      <c r="E90" s="321">
        <v>14884</v>
      </c>
      <c r="F90" s="321">
        <v>207.71440999999999</v>
      </c>
      <c r="G90" s="321">
        <v>5209.0544900000004</v>
      </c>
      <c r="H90" s="321">
        <f t="shared" ref="H90:H98" si="5">E90-G90</f>
        <v>9674.9455099999996</v>
      </c>
      <c r="I90" s="321">
        <v>5339.9544299999998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38" t="s">
        <v>23</v>
      </c>
      <c r="D91" s="330">
        <v>13743</v>
      </c>
      <c r="E91" s="321">
        <v>15259</v>
      </c>
      <c r="F91" s="321">
        <v>204.04989</v>
      </c>
      <c r="G91" s="321">
        <v>9921.3386100000007</v>
      </c>
      <c r="H91" s="321">
        <f t="shared" si="5"/>
        <v>5337.6613899999993</v>
      </c>
      <c r="I91" s="321">
        <v>9627.9601199999997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38" t="s">
        <v>24</v>
      </c>
      <c r="D92" s="330">
        <v>14275</v>
      </c>
      <c r="E92" s="321">
        <v>15859</v>
      </c>
      <c r="F92" s="321">
        <v>173.35499999999999</v>
      </c>
      <c r="G92" s="321">
        <v>11041.39179</v>
      </c>
      <c r="H92" s="321">
        <f t="shared" si="5"/>
        <v>4817.6082100000003</v>
      </c>
      <c r="I92" s="321">
        <v>10631.70026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38" t="s">
        <v>82</v>
      </c>
      <c r="D93" s="330">
        <v>8691</v>
      </c>
      <c r="E93" s="321">
        <v>8330</v>
      </c>
      <c r="F93" s="321">
        <v>33.4041</v>
      </c>
      <c r="G93" s="321">
        <v>8107.1057199999996</v>
      </c>
      <c r="H93" s="321">
        <f t="shared" si="5"/>
        <v>222.89428000000044</v>
      </c>
      <c r="I93" s="321">
        <v>8372.9064899999994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39" t="s">
        <v>29</v>
      </c>
      <c r="D94" s="329">
        <v>11810</v>
      </c>
      <c r="E94" s="320">
        <v>11135</v>
      </c>
      <c r="F94" s="320">
        <v>55.631239999999998</v>
      </c>
      <c r="G94" s="320">
        <v>7313.9731899999997</v>
      </c>
      <c r="H94" s="320">
        <f t="shared" si="5"/>
        <v>3821.0268100000003</v>
      </c>
      <c r="I94" s="320">
        <v>7707.0643099999998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40" t="s">
        <v>79</v>
      </c>
      <c r="D95" s="350">
        <v>5249</v>
      </c>
      <c r="E95" s="351">
        <v>5307</v>
      </c>
      <c r="F95" s="351">
        <v>70.453419999999994</v>
      </c>
      <c r="G95" s="351">
        <v>1464.2569900000001</v>
      </c>
      <c r="H95" s="351">
        <f t="shared" si="5"/>
        <v>3842.7430100000001</v>
      </c>
      <c r="I95" s="351">
        <v>1495.3221100000001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32">
        <v>351</v>
      </c>
      <c r="E96" s="323">
        <v>351</v>
      </c>
      <c r="F96" s="323"/>
      <c r="G96" s="323">
        <v>9.7514800000000008</v>
      </c>
      <c r="H96" s="323">
        <f t="shared" si="5"/>
        <v>341.24851999999998</v>
      </c>
      <c r="I96" s="323">
        <v>17.92306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333">
        <v>300</v>
      </c>
      <c r="E97" s="324">
        <v>300</v>
      </c>
      <c r="F97" s="324"/>
      <c r="G97" s="324">
        <v>300</v>
      </c>
      <c r="H97" s="324">
        <f t="shared" si="5"/>
        <v>0</v>
      </c>
      <c r="I97" s="324">
        <v>300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31" t="s">
        <v>112</v>
      </c>
      <c r="D98" s="333"/>
      <c r="E98" s="324"/>
      <c r="F98" s="324">
        <v>1</v>
      </c>
      <c r="G98" s="324">
        <v>38</v>
      </c>
      <c r="H98" s="324">
        <f t="shared" si="5"/>
        <v>-38</v>
      </c>
      <c r="I98" s="324">
        <v>52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334">
        <f>D85+D88+D96+D97+D98</f>
        <v>107971</v>
      </c>
      <c r="E99" s="325">
        <f>E85+E88+E96+E97+E98</f>
        <v>110187</v>
      </c>
      <c r="F99" s="325">
        <f t="shared" ref="F99:G99" si="6">F85+F88+F96+F97+F98</f>
        <v>885.32446000000004</v>
      </c>
      <c r="G99" s="325">
        <f t="shared" si="6"/>
        <v>71117.687550000002</v>
      </c>
      <c r="H99" s="325">
        <f>H85+H88+H96+H97+H98</f>
        <v>39069.312449999998</v>
      </c>
      <c r="I99" s="325">
        <f>I85+I88+I96+I97+I98</f>
        <v>75564.500280000007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114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3" t="s">
        <v>125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3" t="s">
        <v>100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4" t="s">
        <v>113</v>
      </c>
      <c r="D103" s="194"/>
      <c r="E103" s="194"/>
      <c r="F103" s="194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391" t="s">
        <v>1</v>
      </c>
      <c r="C106" s="392"/>
      <c r="D106" s="392"/>
      <c r="E106" s="392"/>
      <c r="F106" s="392"/>
      <c r="G106" s="392"/>
      <c r="H106" s="392"/>
      <c r="I106" s="392"/>
      <c r="J106" s="392"/>
      <c r="K106" s="393"/>
      <c r="L106" s="196"/>
      <c r="M106" s="196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394" t="s">
        <v>2</v>
      </c>
      <c r="D108" s="395"/>
      <c r="E108" s="394" t="s">
        <v>20</v>
      </c>
      <c r="F108" s="395"/>
      <c r="G108" s="394" t="s">
        <v>21</v>
      </c>
      <c r="H108" s="395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19">
        <v>56470</v>
      </c>
      <c r="G109" s="163" t="s">
        <v>25</v>
      </c>
      <c r="H109" s="219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283"/>
      <c r="D112" s="281"/>
      <c r="E112" s="281" t="s">
        <v>77</v>
      </c>
      <c r="F112" s="167">
        <v>3861</v>
      </c>
      <c r="G112" s="11"/>
      <c r="H112" s="283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282" t="s">
        <v>7</v>
      </c>
      <c r="F113" s="168">
        <f>F109+F110+F111+F112</f>
        <v>156482</v>
      </c>
      <c r="G113" s="119" t="s">
        <v>6</v>
      </c>
      <c r="H113" s="280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116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396" t="s">
        <v>8</v>
      </c>
      <c r="C116" s="397"/>
      <c r="D116" s="397"/>
      <c r="E116" s="397"/>
      <c r="F116" s="397"/>
      <c r="G116" s="397"/>
      <c r="H116" s="397"/>
      <c r="I116" s="397"/>
      <c r="J116" s="397"/>
      <c r="K116" s="398"/>
      <c r="L116" s="196"/>
      <c r="M116" s="196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7" t="s">
        <v>19</v>
      </c>
      <c r="D118" s="176" t="s">
        <v>70</v>
      </c>
      <c r="E118" s="176" t="s">
        <v>126</v>
      </c>
      <c r="F118" s="176" t="str">
        <f>F19</f>
        <v>LANDET KVANTUM UKE 41</v>
      </c>
      <c r="G118" s="176" t="str">
        <f>G19</f>
        <v>LANDET KVANTUM T.O.M UKE 41</v>
      </c>
      <c r="H118" s="176" t="str">
        <f>I19</f>
        <v>RESTKVOTER</v>
      </c>
      <c r="I118" s="295" t="str">
        <f>J19</f>
        <v>LANDET KVANTUM T.O.M. UKE 41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32" t="s">
        <v>74</v>
      </c>
      <c r="D119" s="352">
        <f t="shared" ref="D119:E119" si="7">D120+D121+D122</f>
        <v>56470</v>
      </c>
      <c r="E119" s="352">
        <f t="shared" si="7"/>
        <v>52057</v>
      </c>
      <c r="F119" s="352">
        <f t="shared" ref="F119:H119" si="8">F120+F121+F122</f>
        <v>516.27863000000002</v>
      </c>
      <c r="G119" s="352">
        <f t="shared" si="8"/>
        <v>43937.263500000001</v>
      </c>
      <c r="H119" s="353">
        <f t="shared" si="8"/>
        <v>15407.15149</v>
      </c>
      <c r="I119" s="353">
        <f>I120+I121+I122</f>
        <v>42179.953540000002</v>
      </c>
      <c r="J119" s="154"/>
      <c r="K119" s="126"/>
      <c r="L119" s="154"/>
      <c r="M119" s="154"/>
    </row>
    <row r="120" spans="2:13" ht="14.1" customHeight="1" x14ac:dyDescent="0.25">
      <c r="B120" s="9"/>
      <c r="C120" s="233" t="s">
        <v>12</v>
      </c>
      <c r="D120" s="354">
        <v>45176</v>
      </c>
      <c r="E120" s="354">
        <v>41220</v>
      </c>
      <c r="F120" s="354">
        <v>516.27863000000002</v>
      </c>
      <c r="G120" s="354">
        <v>37928.390229999997</v>
      </c>
      <c r="H120" s="355">
        <v>13256.07516</v>
      </c>
      <c r="I120" s="355">
        <v>35824.099410000003</v>
      </c>
      <c r="J120" s="154"/>
      <c r="K120" s="126"/>
      <c r="L120" s="154"/>
      <c r="M120" s="154"/>
    </row>
    <row r="121" spans="2:13" ht="14.1" customHeight="1" x14ac:dyDescent="0.25">
      <c r="B121" s="9"/>
      <c r="C121" s="233" t="s">
        <v>11</v>
      </c>
      <c r="D121" s="354">
        <v>10794</v>
      </c>
      <c r="E121" s="354">
        <v>10337</v>
      </c>
      <c r="F121" s="354"/>
      <c r="G121" s="354">
        <v>6008.87327</v>
      </c>
      <c r="H121" s="355">
        <v>1651.0763300000001</v>
      </c>
      <c r="I121" s="355">
        <v>6355.8541299999997</v>
      </c>
      <c r="J121" s="154"/>
      <c r="K121" s="126"/>
      <c r="L121" s="154"/>
      <c r="M121" s="154"/>
    </row>
    <row r="122" spans="2:13" ht="15.75" thickBot="1" x14ac:dyDescent="0.3">
      <c r="B122" s="9"/>
      <c r="C122" s="234" t="s">
        <v>39</v>
      </c>
      <c r="D122" s="356">
        <v>500</v>
      </c>
      <c r="E122" s="356">
        <v>500</v>
      </c>
      <c r="F122" s="356"/>
      <c r="G122" s="356"/>
      <c r="H122" s="357">
        <f>E122-G122</f>
        <v>500</v>
      </c>
      <c r="I122" s="357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35" t="s">
        <v>127</v>
      </c>
      <c r="D123" s="358">
        <v>38155</v>
      </c>
      <c r="E123" s="358">
        <v>34652</v>
      </c>
      <c r="F123" s="358">
        <v>35</v>
      </c>
      <c r="G123" s="358">
        <f>25702+4457</f>
        <v>30159</v>
      </c>
      <c r="H123" s="359">
        <f>E123-G123</f>
        <v>4493</v>
      </c>
      <c r="I123" s="359">
        <v>27843.744620000001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36" t="s">
        <v>17</v>
      </c>
      <c r="D124" s="360">
        <f>D125+D130+D133</f>
        <v>59468</v>
      </c>
      <c r="E124" s="360">
        <f>E125+E130+E133</f>
        <v>53642</v>
      </c>
      <c r="F124" s="360">
        <f>F125+F130+F133</f>
        <v>1771.6634499999998</v>
      </c>
      <c r="G124" s="360">
        <f>G133+G130+G125</f>
        <v>46629.451130000001</v>
      </c>
      <c r="H124" s="361">
        <f>H125+H130+H133</f>
        <v>7012.5488700000005</v>
      </c>
      <c r="I124" s="361">
        <f>I125+I130+I133</f>
        <v>51987.136850000003</v>
      </c>
      <c r="J124" s="116"/>
      <c r="K124" s="126"/>
      <c r="L124" s="154"/>
      <c r="M124" s="154"/>
    </row>
    <row r="125" spans="2:13" ht="15.75" customHeight="1" x14ac:dyDescent="0.25">
      <c r="B125" s="2"/>
      <c r="C125" s="237" t="s">
        <v>128</v>
      </c>
      <c r="D125" s="362">
        <f>D126+D127+D128+D129</f>
        <v>44969</v>
      </c>
      <c r="E125" s="362">
        <f>E126+E127+E128+E129</f>
        <v>40509</v>
      </c>
      <c r="F125" s="362">
        <f>F126+F127+F128+F129</f>
        <v>1398.9692499999999</v>
      </c>
      <c r="G125" s="362">
        <f>G126+G127+G129+G128</f>
        <v>33706.546490000001</v>
      </c>
      <c r="H125" s="363">
        <f>H126+H127+H128+H129</f>
        <v>6802.4535100000003</v>
      </c>
      <c r="I125" s="363">
        <f>I126+I127+I128+I129</f>
        <v>39134.65956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38" t="s">
        <v>22</v>
      </c>
      <c r="D126" s="364">
        <v>11917</v>
      </c>
      <c r="E126" s="364">
        <v>12976</v>
      </c>
      <c r="F126" s="364">
        <v>259.51864</v>
      </c>
      <c r="G126" s="364">
        <v>8045.5464899999997</v>
      </c>
      <c r="H126" s="341">
        <f t="shared" ref="H126:H138" si="9">E126-G126</f>
        <v>4930.4535100000003</v>
      </c>
      <c r="I126" s="341">
        <v>7370.6033799999996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38" t="s">
        <v>23</v>
      </c>
      <c r="D127" s="364">
        <v>12852</v>
      </c>
      <c r="E127" s="364">
        <v>10724</v>
      </c>
      <c r="F127" s="364">
        <v>465.50745999999998</v>
      </c>
      <c r="G127" s="364">
        <f>9246-111</f>
        <v>9135</v>
      </c>
      <c r="H127" s="341">
        <f t="shared" si="9"/>
        <v>1589</v>
      </c>
      <c r="I127" s="341">
        <v>10028.36809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38" t="s">
        <v>24</v>
      </c>
      <c r="D128" s="364">
        <v>11166</v>
      </c>
      <c r="E128" s="364">
        <v>8990</v>
      </c>
      <c r="F128" s="364">
        <v>455.87585000000001</v>
      </c>
      <c r="G128" s="364">
        <f>12474-2638</f>
        <v>9836</v>
      </c>
      <c r="H128" s="341">
        <f t="shared" si="9"/>
        <v>-846</v>
      </c>
      <c r="I128" s="341">
        <v>11909.7474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38" t="s">
        <v>82</v>
      </c>
      <c r="D129" s="364">
        <v>9034</v>
      </c>
      <c r="E129" s="364">
        <v>7819</v>
      </c>
      <c r="F129" s="364">
        <v>218.06729999999999</v>
      </c>
      <c r="G129" s="364">
        <f>8398-1708</f>
        <v>6690</v>
      </c>
      <c r="H129" s="341">
        <f t="shared" si="9"/>
        <v>1129</v>
      </c>
      <c r="I129" s="341">
        <v>9825.9406899999994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39" t="s">
        <v>18</v>
      </c>
      <c r="D130" s="365">
        <f>D132+D131</f>
        <v>6380</v>
      </c>
      <c r="E130" s="365">
        <v>5924</v>
      </c>
      <c r="F130" s="365">
        <v>115.5438</v>
      </c>
      <c r="G130" s="365">
        <v>6226.5000899999995</v>
      </c>
      <c r="H130" s="366">
        <f t="shared" si="9"/>
        <v>-302.50008999999955</v>
      </c>
      <c r="I130" s="366">
        <v>6541.7782399999996</v>
      </c>
      <c r="J130" s="39"/>
      <c r="K130" s="126"/>
      <c r="L130" s="154"/>
      <c r="M130" s="154"/>
    </row>
    <row r="131" spans="2:13" ht="14.1" customHeight="1" x14ac:dyDescent="0.25">
      <c r="B131" s="9"/>
      <c r="C131" s="238" t="s">
        <v>40</v>
      </c>
      <c r="D131" s="364">
        <v>5880</v>
      </c>
      <c r="E131" s="364">
        <f>E130-500</f>
        <v>5424</v>
      </c>
      <c r="F131" s="364">
        <v>115.5438</v>
      </c>
      <c r="G131" s="364">
        <v>6085.3491899999999</v>
      </c>
      <c r="H131" s="341">
        <f t="shared" si="9"/>
        <v>-661.34918999999991</v>
      </c>
      <c r="I131" s="341">
        <v>6310.0148300000001</v>
      </c>
      <c r="J131" s="116"/>
      <c r="K131" s="126"/>
      <c r="L131" s="154"/>
      <c r="M131" s="154"/>
    </row>
    <row r="132" spans="2:13" ht="14.1" customHeight="1" x14ac:dyDescent="0.25">
      <c r="B132" s="20"/>
      <c r="C132" s="238" t="s">
        <v>41</v>
      </c>
      <c r="D132" s="364">
        <v>500</v>
      </c>
      <c r="E132" s="364">
        <v>500</v>
      </c>
      <c r="F132" s="364">
        <f>F130-F131</f>
        <v>0</v>
      </c>
      <c r="G132" s="364">
        <f>G130-G131</f>
        <v>141.15089999999964</v>
      </c>
      <c r="H132" s="341">
        <f t="shared" si="9"/>
        <v>358.84910000000036</v>
      </c>
      <c r="I132" s="341">
        <f>I130-I131</f>
        <v>231.76340999999957</v>
      </c>
      <c r="J132" s="39"/>
      <c r="K132" s="126"/>
      <c r="L132" s="154"/>
      <c r="M132" s="154"/>
    </row>
    <row r="133" spans="2:13" ht="15.75" thickBot="1" x14ac:dyDescent="0.3">
      <c r="B133" s="9"/>
      <c r="C133" s="240" t="s">
        <v>79</v>
      </c>
      <c r="D133" s="367">
        <v>8119</v>
      </c>
      <c r="E133" s="367">
        <v>7209</v>
      </c>
      <c r="F133" s="367">
        <v>257.15039999999999</v>
      </c>
      <c r="G133" s="367">
        <v>6696.4045500000002</v>
      </c>
      <c r="H133" s="368">
        <f t="shared" si="9"/>
        <v>512.5954499999998</v>
      </c>
      <c r="I133" s="368">
        <v>6310.6990500000002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36" t="s">
        <v>13</v>
      </c>
      <c r="D134" s="360">
        <v>139</v>
      </c>
      <c r="E134" s="360">
        <f>D134</f>
        <v>139</v>
      </c>
      <c r="F134" s="360"/>
      <c r="G134" s="360">
        <v>13.0062</v>
      </c>
      <c r="H134" s="345">
        <f t="shared" si="9"/>
        <v>125.99379999999999</v>
      </c>
      <c r="I134" s="345">
        <v>12.890499999999999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41" t="s">
        <v>42</v>
      </c>
      <c r="D135" s="369">
        <v>250</v>
      </c>
      <c r="E135" s="369">
        <v>250</v>
      </c>
      <c r="F135" s="369"/>
      <c r="G135" s="369">
        <v>207.3338</v>
      </c>
      <c r="H135" s="370">
        <f t="shared" si="9"/>
        <v>42.666200000000003</v>
      </c>
      <c r="I135" s="370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41" t="s">
        <v>129</v>
      </c>
      <c r="D136" s="360">
        <v>2000</v>
      </c>
      <c r="E136" s="360">
        <v>2000</v>
      </c>
      <c r="F136" s="360">
        <v>11</v>
      </c>
      <c r="G136" s="360">
        <v>2000</v>
      </c>
      <c r="H136" s="345">
        <f>E136-G136</f>
        <v>0</v>
      </c>
      <c r="I136" s="345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8" t="s">
        <v>14</v>
      </c>
      <c r="D137" s="371"/>
      <c r="E137" s="371"/>
      <c r="F137" s="371">
        <v>42</v>
      </c>
      <c r="G137" s="371">
        <v>978</v>
      </c>
      <c r="H137" s="372">
        <f t="shared" si="9"/>
        <v>-978</v>
      </c>
      <c r="I137" s="372">
        <v>534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373">
        <f>D119+D123+D124+D134+D135+D136</f>
        <v>156482</v>
      </c>
      <c r="E138" s="373">
        <f>E119+E123+E124+E134+E135+E136</f>
        <v>142740</v>
      </c>
      <c r="F138" s="373">
        <f>F119+F123+F124+F134+F135+F136+F137</f>
        <v>2375.9420799999998</v>
      </c>
      <c r="G138" s="373">
        <f>G119+G123+G124+G134+G135+G136+G137</f>
        <v>123924.05463</v>
      </c>
      <c r="H138" s="325">
        <f t="shared" si="9"/>
        <v>18815.945370000001</v>
      </c>
      <c r="I138" s="325">
        <f>I119+I123+I124+I134+I135+I136+I137</f>
        <v>124798.19051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274" t="s">
        <v>93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117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3" t="s">
        <v>135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134</v>
      </c>
      <c r="D142" s="197"/>
      <c r="E142" s="197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5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199"/>
      <c r="C147" s="200"/>
      <c r="D147" s="201"/>
      <c r="E147" s="201"/>
      <c r="F147" s="201"/>
      <c r="G147" s="201"/>
      <c r="H147" s="202"/>
      <c r="I147" s="202"/>
      <c r="J147" s="202"/>
      <c r="K147" s="203"/>
      <c r="L147" s="116"/>
      <c r="M147" s="116"/>
    </row>
    <row r="148" spans="2:13" ht="12" customHeight="1" thickBot="1" x14ac:dyDescent="0.3">
      <c r="B148" s="117"/>
      <c r="C148" s="383" t="s">
        <v>2</v>
      </c>
      <c r="D148" s="384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42" t="s">
        <v>55</v>
      </c>
      <c r="D149" s="243">
        <v>36219</v>
      </c>
      <c r="E149" s="244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45" t="s">
        <v>67</v>
      </c>
      <c r="D150" s="246">
        <v>13055</v>
      </c>
      <c r="E150" s="244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47" t="s">
        <v>68</v>
      </c>
      <c r="D151" s="246">
        <v>6586</v>
      </c>
      <c r="E151" s="244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48" t="s">
        <v>31</v>
      </c>
      <c r="D152" s="249">
        <f>D149+D150+D151</f>
        <v>55860</v>
      </c>
      <c r="E152" s="244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50" t="s">
        <v>118</v>
      </c>
      <c r="D153" s="251"/>
      <c r="E153" s="251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50" t="s">
        <v>119</v>
      </c>
      <c r="D154" s="251"/>
      <c r="E154" s="251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120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0" t="str">
        <f>F19</f>
        <v>LANDET KVANTUM UKE 41</v>
      </c>
      <c r="F157" s="104" t="str">
        <f>G19</f>
        <v>LANDET KVANTUM T.O.M UKE 41</v>
      </c>
      <c r="G157" s="104" t="str">
        <f>I19</f>
        <v>RESTKVOTER</v>
      </c>
      <c r="H157" s="104" t="str">
        <f>J19</f>
        <v>LANDET KVANTUM T.O.M. UKE 41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181">
        <v>3.1467999999999998</v>
      </c>
      <c r="F158" s="181">
        <v>29775.885869999998</v>
      </c>
      <c r="G158" s="181">
        <f>D158-F158</f>
        <v>6309.1141300000018</v>
      </c>
      <c r="H158" s="374">
        <v>19836.239290000001</v>
      </c>
      <c r="I158" s="44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181"/>
      <c r="F159" s="181">
        <v>9.8690099999999994</v>
      </c>
      <c r="G159" s="181">
        <f>D159-F159</f>
        <v>90.130989999999997</v>
      </c>
      <c r="H159" s="374">
        <v>29.113669999999999</v>
      </c>
      <c r="I159" s="44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182"/>
      <c r="F160" s="182"/>
      <c r="G160" s="182">
        <f>D160-F160</f>
        <v>34</v>
      </c>
      <c r="H160" s="375"/>
      <c r="I160" s="44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183">
        <f>SUM(E158:E160)</f>
        <v>3.1467999999999998</v>
      </c>
      <c r="F161" s="183">
        <f>SUM(F158:F160)</f>
        <v>29785.754879999997</v>
      </c>
      <c r="G161" s="183">
        <f>D161-F161</f>
        <v>6433.2451200000032</v>
      </c>
      <c r="H161" s="376">
        <f>SUM(H158:H160)</f>
        <v>19865.35296</v>
      </c>
      <c r="I161" s="44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8"/>
      <c r="G162" s="198"/>
      <c r="H162" s="198"/>
      <c r="I162" s="198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4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405" t="s">
        <v>1</v>
      </c>
      <c r="C164" s="406"/>
      <c r="D164" s="406"/>
      <c r="E164" s="406"/>
      <c r="F164" s="406"/>
      <c r="G164" s="406"/>
      <c r="H164" s="406"/>
      <c r="I164" s="406"/>
      <c r="J164" s="406"/>
      <c r="K164" s="407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383" t="s">
        <v>2</v>
      </c>
      <c r="D166" s="384"/>
      <c r="E166" s="383" t="s">
        <v>53</v>
      </c>
      <c r="F166" s="384"/>
      <c r="G166" s="383" t="s">
        <v>54</v>
      </c>
      <c r="H166" s="384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42" t="s">
        <v>55</v>
      </c>
      <c r="D167" s="252">
        <v>40823</v>
      </c>
      <c r="E167" s="253" t="s">
        <v>5</v>
      </c>
      <c r="F167" s="254">
        <v>27313</v>
      </c>
      <c r="G167" s="245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45" t="s">
        <v>44</v>
      </c>
      <c r="D168" s="255">
        <v>38310</v>
      </c>
      <c r="E168" s="256" t="s">
        <v>45</v>
      </c>
      <c r="F168" s="257">
        <v>8000</v>
      </c>
      <c r="G168" s="245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45"/>
      <c r="D169" s="255"/>
      <c r="E169" s="256" t="s">
        <v>38</v>
      </c>
      <c r="F169" s="257">
        <v>5500</v>
      </c>
      <c r="G169" s="245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45"/>
      <c r="D170" s="255"/>
      <c r="E170" s="256"/>
      <c r="F170" s="257"/>
      <c r="G170" s="245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58">
        <f>SUM(D167:D170)</f>
        <v>79133</v>
      </c>
      <c r="E171" s="259" t="s">
        <v>57</v>
      </c>
      <c r="F171" s="258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28" t="s">
        <v>91</v>
      </c>
      <c r="D172" s="256"/>
      <c r="E172" s="256"/>
      <c r="F172" s="256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60" t="s">
        <v>95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385" t="s">
        <v>8</v>
      </c>
      <c r="C175" s="386"/>
      <c r="D175" s="386"/>
      <c r="E175" s="386"/>
      <c r="F175" s="386"/>
      <c r="G175" s="386"/>
      <c r="H175" s="386"/>
      <c r="I175" s="386"/>
      <c r="J175" s="386"/>
      <c r="K175" s="387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98</v>
      </c>
      <c r="F177" s="104" t="str">
        <f>F19</f>
        <v>LANDET KVANTUM UKE 41</v>
      </c>
      <c r="G177" s="104" t="str">
        <f>G19</f>
        <v>LANDET KVANTUM T.O.M UKE 41</v>
      </c>
      <c r="H177" s="104" t="str">
        <f>I19</f>
        <v>RESTKVOTER</v>
      </c>
      <c r="I177" s="104" t="str">
        <f>J19</f>
        <v>LANDET KVANTUM T.O.M. UKE 41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2">
        <f t="shared" ref="D178" si="10">D179+D180+D181+D182</f>
        <v>27212</v>
      </c>
      <c r="E178" s="212">
        <f t="shared" ref="E178:H178" si="11">E179+E180+E181+E182</f>
        <v>30289</v>
      </c>
      <c r="F178" s="212">
        <f>F179+F180+F181+F182</f>
        <v>305.29185000000001</v>
      </c>
      <c r="G178" s="212">
        <f t="shared" si="11"/>
        <v>26703.656630000001</v>
      </c>
      <c r="H178" s="299">
        <f t="shared" si="11"/>
        <v>3585.34337</v>
      </c>
      <c r="I178" s="299">
        <f>SUM(I179:I182)</f>
        <v>38489.699100000005</v>
      </c>
      <c r="J178" s="79"/>
      <c r="K178" s="57"/>
      <c r="L178" s="189"/>
      <c r="M178" s="189"/>
    </row>
    <row r="179" spans="1:13" ht="14.1" customHeight="1" x14ac:dyDescent="0.25">
      <c r="B179" s="49"/>
      <c r="C179" s="267" t="s">
        <v>72</v>
      </c>
      <c r="D179" s="261">
        <v>16288</v>
      </c>
      <c r="E179" s="261">
        <v>18521</v>
      </c>
      <c r="F179" s="261">
        <v>197.97246999999999</v>
      </c>
      <c r="G179" s="261">
        <v>19029.03544</v>
      </c>
      <c r="H179" s="300">
        <f t="shared" ref="H179:H184" si="12">E179-G179</f>
        <v>-508.03543999999965</v>
      </c>
      <c r="I179" s="300">
        <v>29148.639230000001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61">
        <v>4239</v>
      </c>
      <c r="E180" s="261">
        <v>4820</v>
      </c>
      <c r="F180" s="261"/>
      <c r="G180" s="261">
        <v>1929.1279500000001</v>
      </c>
      <c r="H180" s="300">
        <f t="shared" si="12"/>
        <v>2890.8720499999999</v>
      </c>
      <c r="I180" s="300">
        <v>2886.7120500000001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61">
        <v>1561</v>
      </c>
      <c r="E181" s="261">
        <v>1617</v>
      </c>
      <c r="F181" s="261">
        <v>68.142979999999994</v>
      </c>
      <c r="G181" s="261">
        <v>2308.7724400000002</v>
      </c>
      <c r="H181" s="300">
        <f t="shared" si="12"/>
        <v>-691.77244000000019</v>
      </c>
      <c r="I181" s="300">
        <v>2850.2106699999999</v>
      </c>
      <c r="J181" s="79"/>
      <c r="K181" s="57"/>
      <c r="L181" s="189"/>
      <c r="M181" s="189"/>
    </row>
    <row r="182" spans="1:13" ht="14.1" customHeight="1" thickBot="1" x14ac:dyDescent="0.3">
      <c r="B182" s="49"/>
      <c r="C182" s="278" t="s">
        <v>102</v>
      </c>
      <c r="D182" s="279">
        <v>5124</v>
      </c>
      <c r="E182" s="279">
        <v>5331</v>
      </c>
      <c r="F182" s="279">
        <v>39.176400000000001</v>
      </c>
      <c r="G182" s="279">
        <v>3436.7208000000001</v>
      </c>
      <c r="H182" s="301">
        <f t="shared" si="12"/>
        <v>1894.2791999999999</v>
      </c>
      <c r="I182" s="301">
        <v>3604.13715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62">
        <v>5500</v>
      </c>
      <c r="E183" s="262">
        <v>5500</v>
      </c>
      <c r="F183" s="262">
        <v>1.236</v>
      </c>
      <c r="G183" s="262">
        <v>3880.79828</v>
      </c>
      <c r="H183" s="302">
        <f t="shared" si="12"/>
        <v>1619.20172</v>
      </c>
      <c r="I183" s="302">
        <v>4780.0276599999997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2">
        <v>8000</v>
      </c>
      <c r="E184" s="212">
        <v>8000</v>
      </c>
      <c r="F184" s="212">
        <f>F185+F186</f>
        <v>95.336339999999993</v>
      </c>
      <c r="G184" s="212">
        <f>G185+G186</f>
        <v>4428.7876299999998</v>
      </c>
      <c r="H184" s="299">
        <f t="shared" si="12"/>
        <v>3571.2123700000002</v>
      </c>
      <c r="I184" s="299">
        <f>I185+I186</f>
        <v>3048.8626100000001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61"/>
      <c r="E185" s="261"/>
      <c r="F185" s="261">
        <v>1.5363</v>
      </c>
      <c r="G185" s="261">
        <v>650.30850999999996</v>
      </c>
      <c r="H185" s="300"/>
      <c r="I185" s="300">
        <v>392.16176999999999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4"/>
      <c r="E186" s="214"/>
      <c r="F186" s="214">
        <v>93.800039999999996</v>
      </c>
      <c r="G186" s="214">
        <v>3778.47912</v>
      </c>
      <c r="H186" s="303"/>
      <c r="I186" s="303">
        <v>2656.70084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62">
        <v>10</v>
      </c>
      <c r="E187" s="262">
        <v>10</v>
      </c>
      <c r="F187" s="262"/>
      <c r="G187" s="262">
        <v>0.69179999999999997</v>
      </c>
      <c r="H187" s="302">
        <f>E187-G187</f>
        <v>9.3081999999999994</v>
      </c>
      <c r="I187" s="302"/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3"/>
      <c r="E188" s="213"/>
      <c r="F188" s="213">
        <v>0.95857999999999999</v>
      </c>
      <c r="G188" s="213">
        <v>61.242510000000003</v>
      </c>
      <c r="H188" s="304">
        <f>E188-G188</f>
        <v>-61.242510000000003</v>
      </c>
      <c r="I188" s="304">
        <v>47.542319999999997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09">
        <f>F178+F183+F184+F187+F188</f>
        <v>402.82276999999999</v>
      </c>
      <c r="G189" s="209">
        <f>G178+G183+G184+G187+G188</f>
        <v>35075.176849999996</v>
      </c>
      <c r="H189" s="209">
        <f>H178+H183+H184+H187+H188</f>
        <v>8723.8231500000002</v>
      </c>
      <c r="I189" s="314">
        <f>I178+I183+I184+I187+I188</f>
        <v>46366.131690000002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274" t="s">
        <v>73</v>
      </c>
      <c r="D190" s="66"/>
      <c r="E190" s="66"/>
      <c r="F190" s="66"/>
      <c r="G190" s="66"/>
      <c r="H190" s="273"/>
      <c r="I190" s="273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60" t="s">
        <v>101</v>
      </c>
      <c r="D191" s="66"/>
      <c r="E191" s="66"/>
      <c r="F191" s="66"/>
      <c r="G191" s="66"/>
      <c r="H191" s="273"/>
      <c r="I191" s="273"/>
      <c r="J191" s="141"/>
      <c r="K191" s="142"/>
      <c r="L191" s="141"/>
      <c r="M191" s="141"/>
    </row>
    <row r="192" spans="1:13" ht="15.75" thickBot="1" x14ac:dyDescent="0.3">
      <c r="B192" s="58"/>
      <c r="C192" s="290" t="s">
        <v>103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405" t="s">
        <v>1</v>
      </c>
      <c r="C195" s="406"/>
      <c r="D195" s="406"/>
      <c r="E195" s="406"/>
      <c r="F195" s="406"/>
      <c r="G195" s="406"/>
      <c r="H195" s="406"/>
      <c r="I195" s="406"/>
      <c r="J195" s="406"/>
      <c r="K195" s="407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383" t="s">
        <v>2</v>
      </c>
      <c r="D197" s="384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42" t="s">
        <v>71</v>
      </c>
      <c r="D198" s="243">
        <v>2120</v>
      </c>
      <c r="E198" s="263"/>
      <c r="F198" s="218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45" t="s">
        <v>44</v>
      </c>
      <c r="D199" s="246">
        <v>12216</v>
      </c>
      <c r="E199" s="263"/>
      <c r="F199" s="218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47" t="s">
        <v>28</v>
      </c>
      <c r="D200" s="246">
        <v>382</v>
      </c>
      <c r="E200" s="263"/>
      <c r="F200" s="218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48" t="s">
        <v>31</v>
      </c>
      <c r="D201" s="249">
        <f>SUM(D198:D200)</f>
        <v>14718</v>
      </c>
      <c r="E201" s="263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64" t="s">
        <v>94</v>
      </c>
      <c r="D202" s="256"/>
      <c r="E202" s="256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60" t="s">
        <v>121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385" t="s">
        <v>8</v>
      </c>
      <c r="C205" s="386"/>
      <c r="D205" s="386"/>
      <c r="E205" s="386"/>
      <c r="F205" s="386"/>
      <c r="G205" s="386"/>
      <c r="H205" s="386"/>
      <c r="I205" s="386"/>
      <c r="J205" s="386"/>
      <c r="K205" s="387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41</v>
      </c>
      <c r="F207" s="104" t="str">
        <f>G19</f>
        <v>LANDET KVANTUM T.O.M UKE 41</v>
      </c>
      <c r="G207" s="104" t="str">
        <f>I19</f>
        <v>RESTKVOTER</v>
      </c>
      <c r="H207" s="104" t="str">
        <f>J19</f>
        <v>LANDET KVANTUM T.O.M. UKE 41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181">
        <v>7.7134999999999998</v>
      </c>
      <c r="F208" s="181">
        <v>551.24348999999995</v>
      </c>
      <c r="G208" s="296">
        <f>D208-F208</f>
        <v>148.75651000000005</v>
      </c>
      <c r="H208" s="296">
        <v>963.39616999999998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181">
        <v>6.2561400000000003</v>
      </c>
      <c r="F209" s="181">
        <v>1541.1300100000001</v>
      </c>
      <c r="G209" s="296">
        <f t="shared" ref="G209:G211" si="13">D209-F209</f>
        <v>-171.13001000000008</v>
      </c>
      <c r="H209" s="296">
        <v>2935.1732099999999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182"/>
      <c r="F210" s="182">
        <v>3.32992</v>
      </c>
      <c r="G210" s="296">
        <f t="shared" si="13"/>
        <v>46.670079999999999</v>
      </c>
      <c r="H210" s="296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182"/>
      <c r="F211" s="182">
        <v>2.1034299999999999</v>
      </c>
      <c r="G211" s="296">
        <f t="shared" si="13"/>
        <v>-2.1034299999999999</v>
      </c>
      <c r="H211" s="296">
        <v>4.2743900000000004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183">
        <f>SUM(E208:E211)</f>
        <v>13.96964</v>
      </c>
      <c r="F212" s="183">
        <f>SUM(F208:F211)</f>
        <v>2097.8068500000004</v>
      </c>
      <c r="G212" s="298">
        <f>D212-F212</f>
        <v>22.193149999999605</v>
      </c>
      <c r="H212" s="298">
        <f>H208+H209+H210+H211</f>
        <v>3904.9539099999997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85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405" t="s">
        <v>1</v>
      </c>
      <c r="C223" s="406"/>
      <c r="D223" s="406"/>
      <c r="E223" s="406"/>
      <c r="F223" s="406"/>
      <c r="G223" s="406"/>
      <c r="H223" s="406"/>
      <c r="I223" s="406"/>
      <c r="J223" s="406"/>
      <c r="K223" s="407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383" t="s">
        <v>2</v>
      </c>
      <c r="D225" s="384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42" t="s">
        <v>71</v>
      </c>
      <c r="D226" s="243">
        <v>5148</v>
      </c>
      <c r="E226" s="263"/>
      <c r="F226" s="218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45" t="s">
        <v>44</v>
      </c>
      <c r="D227" s="246">
        <v>3465</v>
      </c>
      <c r="E227" s="263"/>
      <c r="F227" s="218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45" t="s">
        <v>28</v>
      </c>
      <c r="D228" s="246">
        <v>123</v>
      </c>
      <c r="E228" s="263"/>
      <c r="F228" s="218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48" t="s">
        <v>31</v>
      </c>
      <c r="D229" s="249">
        <f>SUM(D226:D228)</f>
        <v>8736</v>
      </c>
      <c r="E229" s="263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x14ac:dyDescent="0.25">
      <c r="B230" s="81"/>
      <c r="C230" s="264" t="s">
        <v>104</v>
      </c>
      <c r="D230" s="256"/>
      <c r="E230" s="256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289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385" t="s">
        <v>8</v>
      </c>
      <c r="C232" s="386"/>
      <c r="D232" s="386"/>
      <c r="E232" s="386"/>
      <c r="F232" s="386"/>
      <c r="G232" s="386"/>
      <c r="H232" s="386"/>
      <c r="I232" s="386"/>
      <c r="J232" s="386"/>
      <c r="K232" s="387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284" t="s">
        <v>86</v>
      </c>
      <c r="D234" s="285" t="s">
        <v>87</v>
      </c>
      <c r="E234" s="284" t="str">
        <f>E207</f>
        <v>LANDET KVANTUM UKE 41</v>
      </c>
      <c r="F234" s="284" t="str">
        <f>F207</f>
        <v>LANDET KVANTUM T.O.M UKE 41</v>
      </c>
      <c r="G234" s="305" t="s">
        <v>62</v>
      </c>
      <c r="H234" s="284" t="str">
        <f>H207</f>
        <v>LANDET KVANTUM T.O.M. UKE 41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88</v>
      </c>
      <c r="D235" s="380">
        <v>1900</v>
      </c>
      <c r="E235" s="308">
        <f>SUM(E236:E237)</f>
        <v>0</v>
      </c>
      <c r="F235" s="308">
        <f>SUM(F236:F237)</f>
        <v>1914.9664299999999</v>
      </c>
      <c r="G235" s="377">
        <f>D235-F235</f>
        <v>-14.966429999999946</v>
      </c>
      <c r="H235" s="308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286" t="s">
        <v>78</v>
      </c>
      <c r="D236" s="381"/>
      <c r="E236" s="309"/>
      <c r="F236" s="309">
        <v>1556.17669</v>
      </c>
      <c r="G236" s="378"/>
      <c r="H236" s="309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286" t="s">
        <v>79</v>
      </c>
      <c r="D237" s="382"/>
      <c r="E237" s="310"/>
      <c r="F237" s="310">
        <v>358.78973999999999</v>
      </c>
      <c r="G237" s="379"/>
      <c r="H237" s="310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89</v>
      </c>
      <c r="D238" s="380">
        <v>1624</v>
      </c>
      <c r="E238" s="308">
        <f>SUM(E239:E240)</f>
        <v>0</v>
      </c>
      <c r="F238" s="308">
        <f>SUM(F239:F240)</f>
        <v>1675.0047500000001</v>
      </c>
      <c r="G238" s="377">
        <f>D238-F238</f>
        <v>-51.004750000000058</v>
      </c>
      <c r="H238" s="308">
        <f>SUM(H239:H240)</f>
        <v>1334.9613099999999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286" t="s">
        <v>78</v>
      </c>
      <c r="D239" s="381"/>
      <c r="E239" s="309"/>
      <c r="F239" s="309">
        <v>1358</v>
      </c>
      <c r="G239" s="378"/>
      <c r="H239" s="309">
        <v>1037.3317099999999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286" t="s">
        <v>79</v>
      </c>
      <c r="D240" s="382"/>
      <c r="E240" s="310"/>
      <c r="F240" s="310">
        <v>317.00475</v>
      </c>
      <c r="G240" s="379"/>
      <c r="H240" s="310">
        <v>297.62959999999998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90</v>
      </c>
      <c r="D241" s="380">
        <v>1624</v>
      </c>
      <c r="E241" s="308">
        <f>SUM(E242:E243)</f>
        <v>79.676770000000005</v>
      </c>
      <c r="F241" s="308">
        <f>SUM(F242:F243)</f>
        <v>490.73935</v>
      </c>
      <c r="G241" s="377">
        <f>D241-F241</f>
        <v>1133.2606499999999</v>
      </c>
      <c r="H241" s="308">
        <f>SUM(H242:H243)</f>
        <v>453.97967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286" t="s">
        <v>78</v>
      </c>
      <c r="D242" s="381"/>
      <c r="E242" s="309">
        <v>66.612470000000002</v>
      </c>
      <c r="F242" s="309">
        <v>405.33996999999999</v>
      </c>
      <c r="G242" s="378"/>
      <c r="H242" s="309">
        <v>357.06256999999999</v>
      </c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286" t="s">
        <v>79</v>
      </c>
      <c r="D243" s="382"/>
      <c r="E243" s="310">
        <v>13.064299999999999</v>
      </c>
      <c r="F243" s="310">
        <v>85.399379999999994</v>
      </c>
      <c r="G243" s="379"/>
      <c r="H243" s="310">
        <v>96.917100000000005</v>
      </c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287"/>
      <c r="E244" s="297"/>
      <c r="F244" s="297"/>
      <c r="G244" s="306"/>
      <c r="H244" s="297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288">
        <f>SUM(D235:D244)</f>
        <v>5148</v>
      </c>
      <c r="E245" s="298">
        <f>E235+E238+E241+E244</f>
        <v>79.676770000000005</v>
      </c>
      <c r="F245" s="298">
        <f>F235+F238+F241+F244</f>
        <v>4080.7105299999998</v>
      </c>
      <c r="G245" s="307">
        <f>SUM(G235:G244)</f>
        <v>1067.2894699999999</v>
      </c>
      <c r="H245" s="298">
        <f>H235+H238+H241+H244</f>
        <v>3384.0963299999999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B223:K223"/>
    <mergeCell ref="B205:K205"/>
    <mergeCell ref="C148:D148"/>
    <mergeCell ref="C197:D197"/>
    <mergeCell ref="B195:K195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G57:G58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C225:D225"/>
    <mergeCell ref="B232:K232"/>
    <mergeCell ref="D235:D237"/>
    <mergeCell ref="G235:G237"/>
  </mergeCells>
  <pageMargins left="7.874015748031496E-2" right="0.23622047244094491" top="0.59055118110236227" bottom="0.27559055118110237" header="0.11811023622047245" footer="7.874015748031496E-2"/>
  <pageSetup paperSize="9" scale="64" fitToHeight="0" orientation="portrait" r:id="rId2"/>
  <headerFooter>
    <oddHeader xml:space="preserve">&amp;LForeløpig statistikk&amp;C&amp;"-,Fet"&amp;12Pr. uke 41
&amp;"-,Normal"&amp;11(iht. motatte landings- og sluttsedler fra fiskesalgslagene; alle tallstørrelser i hele tonn)&amp;R14.10.2020
</oddHeader>
    <oddFooter>&amp;LFiskeridirektoratet&amp;CReguleringsseksjonen&amp;RGuro Gjelsvik</oddFooter>
  </headerFooter>
  <rowBreaks count="3" manualBreakCount="3">
    <brk id="69" min="1" max="12" man="1"/>
    <brk id="145" min="1" max="12" man="1"/>
    <brk id="219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UKE_41_2020</vt:lpstr>
      <vt:lpstr>UKE_41_2020!Utskriftsområde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2020-10-14T09:24:32Z</cp:lastPrinted>
  <dcterms:created xsi:type="dcterms:W3CDTF">2011-07-06T12:13:20Z</dcterms:created>
  <dcterms:modified xsi:type="dcterms:W3CDTF">2020-10-14T09:38:09Z</dcterms:modified>
</cp:coreProperties>
</file>