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lmal\AppData\Local\Microsoft\Windows\INetCache\Content.Outlook\JPV7RF9W\"/>
    </mc:Choice>
  </mc:AlternateContent>
  <xr:revisionPtr revIDLastSave="0" documentId="13_ncr:1_{3026FA88-A1D8-41CF-B89C-BB4CBF342CC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H32" i="1"/>
  <c r="F32" i="1"/>
  <c r="F36" i="1"/>
  <c r="F35" i="1"/>
  <c r="F34" i="1"/>
  <c r="G32" i="1"/>
  <c r="G28" i="1"/>
  <c r="G40" i="1"/>
  <c r="G30" i="1"/>
  <c r="G29" i="1"/>
  <c r="G39" i="1"/>
  <c r="G36" i="1"/>
  <c r="G35" i="1"/>
  <c r="G34" i="1"/>
  <c r="G23" i="1"/>
  <c r="G27" i="1" l="1"/>
  <c r="G26" i="1" s="1"/>
  <c r="G132" i="1" l="1"/>
  <c r="H55" i="1"/>
  <c r="H60" i="1"/>
  <c r="H28" i="1"/>
  <c r="D423" i="1"/>
  <c r="H422" i="1"/>
  <c r="F422" i="1"/>
  <c r="G422" i="1" s="1"/>
  <c r="E422" i="1"/>
  <c r="H421" i="1"/>
  <c r="F421" i="1"/>
  <c r="E421" i="1"/>
  <c r="H420" i="1"/>
  <c r="H419" i="1" s="1"/>
  <c r="F420" i="1"/>
  <c r="F419" i="1" s="1"/>
  <c r="G419" i="1" s="1"/>
  <c r="E420" i="1"/>
  <c r="E419" i="1"/>
  <c r="H418" i="1"/>
  <c r="F418" i="1"/>
  <c r="E418" i="1"/>
  <c r="E416" i="1" s="1"/>
  <c r="H417" i="1"/>
  <c r="F417" i="1"/>
  <c r="F416" i="1" s="1"/>
  <c r="G416" i="1" s="1"/>
  <c r="E417" i="1"/>
  <c r="H416" i="1"/>
  <c r="H415" i="1"/>
  <c r="H413" i="1" s="1"/>
  <c r="F415" i="1"/>
  <c r="E415" i="1"/>
  <c r="H414" i="1"/>
  <c r="F414" i="1"/>
  <c r="E414" i="1"/>
  <c r="E413" i="1" s="1"/>
  <c r="E423" i="1" s="1"/>
  <c r="F413" i="1"/>
  <c r="I390" i="1"/>
  <c r="H390" i="1"/>
  <c r="G390" i="1"/>
  <c r="F390" i="1"/>
  <c r="I389" i="1"/>
  <c r="H389" i="1"/>
  <c r="G389" i="1"/>
  <c r="F389" i="1"/>
  <c r="I388" i="1"/>
  <c r="I386" i="1" s="1"/>
  <c r="G388" i="1"/>
  <c r="G386" i="1" s="1"/>
  <c r="H386" i="1" s="1"/>
  <c r="F388" i="1"/>
  <c r="I387" i="1"/>
  <c r="G387" i="1"/>
  <c r="F387" i="1"/>
  <c r="F386" i="1"/>
  <c r="I385" i="1"/>
  <c r="H385" i="1"/>
  <c r="G385" i="1"/>
  <c r="F385" i="1"/>
  <c r="I384" i="1"/>
  <c r="H384" i="1"/>
  <c r="G384" i="1"/>
  <c r="F384" i="1"/>
  <c r="I383" i="1"/>
  <c r="I380" i="1" s="1"/>
  <c r="I391" i="1" s="1"/>
  <c r="H383" i="1"/>
  <c r="H380" i="1" s="1"/>
  <c r="G383" i="1"/>
  <c r="F383" i="1"/>
  <c r="I382" i="1"/>
  <c r="H382" i="1"/>
  <c r="G382" i="1"/>
  <c r="F382" i="1"/>
  <c r="I381" i="1"/>
  <c r="H381" i="1"/>
  <c r="G381" i="1"/>
  <c r="F381" i="1"/>
  <c r="G380" i="1"/>
  <c r="F380" i="1"/>
  <c r="F391" i="1" s="1"/>
  <c r="D380" i="1"/>
  <c r="D391" i="1" s="1"/>
  <c r="H372" i="1"/>
  <c r="F372" i="1"/>
  <c r="D354" i="1"/>
  <c r="H353" i="1"/>
  <c r="G353" i="1"/>
  <c r="F353" i="1"/>
  <c r="E353" i="1"/>
  <c r="H352" i="1"/>
  <c r="G352" i="1"/>
  <c r="F352" i="1"/>
  <c r="E352" i="1"/>
  <c r="H351" i="1"/>
  <c r="H354" i="1" s="1"/>
  <c r="G351" i="1"/>
  <c r="F351" i="1"/>
  <c r="E351" i="1"/>
  <c r="H350" i="1"/>
  <c r="G350" i="1"/>
  <c r="F350" i="1"/>
  <c r="F354" i="1" s="1"/>
  <c r="E350" i="1"/>
  <c r="E354" i="1" s="1"/>
  <c r="D343" i="1"/>
  <c r="H299" i="1"/>
  <c r="D299" i="1"/>
  <c r="H298" i="1"/>
  <c r="G298" i="1"/>
  <c r="F298" i="1"/>
  <c r="E298" i="1"/>
  <c r="H297" i="1"/>
  <c r="F297" i="1"/>
  <c r="E297" i="1"/>
  <c r="H296" i="1"/>
  <c r="F296" i="1"/>
  <c r="F295" i="1" s="1"/>
  <c r="E296" i="1"/>
  <c r="E295" i="1" s="1"/>
  <c r="E299" i="1" s="1"/>
  <c r="H295" i="1"/>
  <c r="D253" i="1"/>
  <c r="H252" i="1"/>
  <c r="F252" i="1"/>
  <c r="G252" i="1" s="1"/>
  <c r="E252" i="1"/>
  <c r="H251" i="1"/>
  <c r="F251" i="1"/>
  <c r="E251" i="1"/>
  <c r="E249" i="1" s="1"/>
  <c r="E253" i="1" s="1"/>
  <c r="H250" i="1"/>
  <c r="H249" i="1" s="1"/>
  <c r="H253" i="1" s="1"/>
  <c r="F250" i="1"/>
  <c r="F249" i="1" s="1"/>
  <c r="E250" i="1"/>
  <c r="H207" i="1"/>
  <c r="D207" i="1"/>
  <c r="H206" i="1"/>
  <c r="F206" i="1"/>
  <c r="G206" i="1" s="1"/>
  <c r="E206" i="1"/>
  <c r="H205" i="1"/>
  <c r="F205" i="1"/>
  <c r="F207" i="1" s="1"/>
  <c r="G207" i="1" s="1"/>
  <c r="E205" i="1"/>
  <c r="H204" i="1"/>
  <c r="F204" i="1"/>
  <c r="G204" i="1" s="1"/>
  <c r="E204" i="1"/>
  <c r="E207" i="1" s="1"/>
  <c r="D184" i="1"/>
  <c r="H183" i="1"/>
  <c r="F183" i="1"/>
  <c r="G183" i="1" s="1"/>
  <c r="E183" i="1"/>
  <c r="H182" i="1"/>
  <c r="G182" i="1"/>
  <c r="F182" i="1"/>
  <c r="E182" i="1"/>
  <c r="H181" i="1"/>
  <c r="F181" i="1"/>
  <c r="E181" i="1"/>
  <c r="H180" i="1"/>
  <c r="F180" i="1"/>
  <c r="F178" i="1" s="1"/>
  <c r="E180" i="1"/>
  <c r="E178" i="1" s="1"/>
  <c r="H179" i="1"/>
  <c r="H178" i="1" s="1"/>
  <c r="F179" i="1"/>
  <c r="E179" i="1"/>
  <c r="H177" i="1"/>
  <c r="G177" i="1"/>
  <c r="F177" i="1"/>
  <c r="E177" i="1"/>
  <c r="H176" i="1"/>
  <c r="F176" i="1"/>
  <c r="E176" i="1"/>
  <c r="E184" i="1" s="1"/>
  <c r="H175" i="1"/>
  <c r="H184" i="1" s="1"/>
  <c r="G175" i="1"/>
  <c r="F175" i="1"/>
  <c r="E175" i="1"/>
  <c r="D167" i="1"/>
  <c r="D169" i="1" s="1"/>
  <c r="I148" i="1"/>
  <c r="G148" i="1"/>
  <c r="H148" i="1" s="1"/>
  <c r="F148" i="1"/>
  <c r="I147" i="1"/>
  <c r="H147" i="1"/>
  <c r="G147" i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F139" i="1" s="1"/>
  <c r="I140" i="1"/>
  <c r="I139" i="1" s="1"/>
  <c r="H140" i="1"/>
  <c r="G140" i="1"/>
  <c r="F140" i="1"/>
  <c r="H139" i="1"/>
  <c r="G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I150" i="1" s="1"/>
  <c r="H135" i="1"/>
  <c r="F135" i="1"/>
  <c r="F134" i="1"/>
  <c r="F133" i="1" s="1"/>
  <c r="E134" i="1"/>
  <c r="E133" i="1" s="1"/>
  <c r="D134" i="1"/>
  <c r="D133" i="1" s="1"/>
  <c r="I132" i="1"/>
  <c r="H132" i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H128" i="1" s="1"/>
  <c r="F129" i="1"/>
  <c r="F128" i="1" s="1"/>
  <c r="F150" i="1" s="1"/>
  <c r="I128" i="1"/>
  <c r="G128" i="1"/>
  <c r="E128" i="1"/>
  <c r="E150" i="1" s="1"/>
  <c r="D128" i="1"/>
  <c r="D150" i="1" s="1"/>
  <c r="C126" i="1"/>
  <c r="I106" i="1"/>
  <c r="G106" i="1"/>
  <c r="H106" i="1" s="1"/>
  <c r="F106" i="1"/>
  <c r="I105" i="1"/>
  <c r="H105" i="1"/>
  <c r="G105" i="1"/>
  <c r="F105" i="1"/>
  <c r="I104" i="1"/>
  <c r="G104" i="1"/>
  <c r="H104" i="1" s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I97" i="1"/>
  <c r="I96" i="1" s="1"/>
  <c r="I95" i="1" s="1"/>
  <c r="H97" i="1"/>
  <c r="H96" i="1" s="1"/>
  <c r="H95" i="1" s="1"/>
  <c r="G97" i="1"/>
  <c r="F97" i="1"/>
  <c r="G96" i="1"/>
  <c r="G95" i="1" s="1"/>
  <c r="F96" i="1"/>
  <c r="F95" i="1" s="1"/>
  <c r="E96" i="1"/>
  <c r="E95" i="1" s="1"/>
  <c r="D96" i="1"/>
  <c r="D95" i="1" s="1"/>
  <c r="I94" i="1"/>
  <c r="H94" i="1"/>
  <c r="G94" i="1"/>
  <c r="F94" i="1"/>
  <c r="I93" i="1"/>
  <c r="G93" i="1"/>
  <c r="G92" i="1" s="1"/>
  <c r="G107" i="1" s="1"/>
  <c r="F93" i="1"/>
  <c r="F92" i="1" s="1"/>
  <c r="F107" i="1" s="1"/>
  <c r="I92" i="1"/>
  <c r="I107" i="1" s="1"/>
  <c r="E92" i="1"/>
  <c r="E107" i="1" s="1"/>
  <c r="D92" i="1"/>
  <c r="D107" i="1" s="1"/>
  <c r="C89" i="1"/>
  <c r="H85" i="1"/>
  <c r="F85" i="1"/>
  <c r="D85" i="1"/>
  <c r="H61" i="1"/>
  <c r="I55" i="1"/>
  <c r="I32" i="1" s="1"/>
  <c r="G55" i="1"/>
  <c r="F55" i="1"/>
  <c r="I43" i="1"/>
  <c r="G43" i="1"/>
  <c r="H43" i="1" s="1"/>
  <c r="F43" i="1"/>
  <c r="H42" i="1"/>
  <c r="I41" i="1"/>
  <c r="G41" i="1"/>
  <c r="H41" i="1" s="1"/>
  <c r="F41" i="1"/>
  <c r="I40" i="1"/>
  <c r="H40" i="1"/>
  <c r="F40" i="1"/>
  <c r="I39" i="1"/>
  <c r="H39" i="1"/>
  <c r="F39" i="1"/>
  <c r="I38" i="1"/>
  <c r="G38" i="1"/>
  <c r="H38" i="1" s="1"/>
  <c r="F38" i="1"/>
  <c r="I37" i="1"/>
  <c r="G37" i="1"/>
  <c r="H37" i="1" s="1"/>
  <c r="F37" i="1"/>
  <c r="I36" i="1"/>
  <c r="H36" i="1"/>
  <c r="I35" i="1"/>
  <c r="E35" i="1"/>
  <c r="I34" i="1"/>
  <c r="D34" i="1"/>
  <c r="I33" i="1"/>
  <c r="H33" i="1"/>
  <c r="G33" i="1"/>
  <c r="F33" i="1"/>
  <c r="I31" i="1"/>
  <c r="H31" i="1"/>
  <c r="F31" i="1"/>
  <c r="I30" i="1"/>
  <c r="H30" i="1"/>
  <c r="F30" i="1"/>
  <c r="I29" i="1"/>
  <c r="H29" i="1"/>
  <c r="F29" i="1"/>
  <c r="I28" i="1"/>
  <c r="F28" i="1"/>
  <c r="E27" i="1"/>
  <c r="E26" i="1" s="1"/>
  <c r="D27" i="1"/>
  <c r="D26" i="1"/>
  <c r="I25" i="1"/>
  <c r="G25" i="1"/>
  <c r="H25" i="1" s="1"/>
  <c r="H23" i="1" s="1"/>
  <c r="F25" i="1"/>
  <c r="I24" i="1"/>
  <c r="H24" i="1"/>
  <c r="G24" i="1"/>
  <c r="F24" i="1"/>
  <c r="F23" i="1" s="1"/>
  <c r="I23" i="1"/>
  <c r="E23" i="1"/>
  <c r="D23" i="1"/>
  <c r="D44" i="1" s="1"/>
  <c r="H16" i="1"/>
  <c r="F16" i="1"/>
  <c r="D16" i="1"/>
  <c r="I27" i="1" l="1"/>
  <c r="I26" i="1" s="1"/>
  <c r="I44" i="1" s="1"/>
  <c r="H35" i="1"/>
  <c r="H27" i="1"/>
  <c r="G44" i="1"/>
  <c r="F299" i="1"/>
  <c r="G295" i="1"/>
  <c r="H34" i="1"/>
  <c r="G299" i="1"/>
  <c r="G391" i="1"/>
  <c r="F27" i="1"/>
  <c r="H92" i="1"/>
  <c r="H107" i="1" s="1"/>
  <c r="E44" i="1"/>
  <c r="H423" i="1"/>
  <c r="F184" i="1"/>
  <c r="G184" i="1" s="1"/>
  <c r="G178" i="1"/>
  <c r="G354" i="1"/>
  <c r="H391" i="1"/>
  <c r="H134" i="1"/>
  <c r="H133" i="1" s="1"/>
  <c r="H150" i="1" s="1"/>
  <c r="G249" i="1"/>
  <c r="F253" i="1"/>
  <c r="G253" i="1"/>
  <c r="F423" i="1"/>
  <c r="G423" i="1"/>
  <c r="G205" i="1"/>
  <c r="H93" i="1"/>
  <c r="G134" i="1"/>
  <c r="G133" i="1" s="1"/>
  <c r="G150" i="1" s="1"/>
  <c r="G413" i="1"/>
  <c r="F26" i="1" l="1"/>
  <c r="F44" i="1" s="1"/>
  <c r="H26" i="1"/>
  <c r="H44" i="1" s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<sst xmlns="http://schemas.openxmlformats.org/spreadsheetml/2006/main" count="359" uniqueCount="151">
  <si>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</si>
  <si>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</si>
  <si>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</si>
  <si>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</si>
  <si>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</si>
  <si>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</si>
  <si>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</si>
  <si>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</si>
  <si>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</si>
  <si>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</si>
  <si>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</si>
  <si>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</si>
  <si>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</si>
  <si>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</si>
  <si>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</si>
  <si>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</si>
  <si>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</si>
  <si>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</si>
  <si>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</si>
  <si>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</si>
  <si>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</si>
  <si>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</si>
  <si>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</si>
  <si>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</si>
  <si>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</si>
  <si>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</si>
  <si>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</si>
  <si>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</si>
  <si>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</si>
  <si>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</si>
  <si>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</si>
  <si>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</si>
  <si>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</si>
  <si>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</si>
  <si>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</si>
  <si>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</si>
  <si>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</si>
  <si>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</si>
  <si>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</si>
  <si>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</si>
  <si>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</si>
  <si>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</si>
  <si>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</si>
  <si>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</si>
  <si>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</si>
  <si>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</si>
  <si>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</si>
  <si>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</si>
  <si>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</si>
  <si>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</si>
  <si>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</si>
  <si>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</si>
  <si>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</si>
  <si>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</si>
  <si>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</si>
  <si>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</si>
  <si>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</si>
  <si>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</si>
  <si>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</si>
  <si>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</si>
  <si>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</si>
  <si>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</si>
  <si>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</si>
  <si>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</si>
  <si>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</si>
  <si>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</si>
  <si>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</si>
  <si>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</si>
  <si>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</si>
  <si>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</si>
  <si>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</si>
  <si>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</si>
  <si>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</si>
  <si>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</si>
  <si>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</si>
  <si>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</si>
  <si>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</si>
  <si>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</si>
  <si>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</si>
  <si>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</si>
  <si>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</si>
  <si>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</si>
  <si>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</si>
  <si>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</si>
  <si>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</si>
  <si>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</si>
  <si>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</si>
  <si>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</si>
  <si>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</si>
  <si>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</si>
  <si>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</si>
  <si>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</si>
  <si>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</si>
  <si>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</si>
  <si>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</si>
  <si>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</si>
  <si>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</si>
  <si>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</si>
  <si>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</si>
  <si>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</si>
  <si>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</si>
  <si>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</si>
  <si>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</si>
  <si>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</si>
  <si>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</si>
  <si>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</si>
  <si>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</si>
  <si>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</si>
  <si>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</si>
  <si>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</si>
  <si>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</si>
  <si>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</si>
  <si>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</si>
  <si>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</si>
  <si>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</si>
  <si>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</si>
  <si>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</si>
  <si>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</si>
  <si>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</si>
  <si>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</si>
  <si>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</si>
  <si>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</si>
  <si>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</si>
  <si>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</si>
  <si>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</si>
  <si>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</si>
  <si>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</si>
  <si>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</si>
  <si>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</si>
  <si>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</si>
  <si>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</si>
  <si>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</si>
  <si>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</si>
  <si>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</si>
  <si>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</si>
  <si>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</si>
  <si>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</si>
  <si>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</si>
  <si>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</si>
  <si>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</si>
  <si>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t>JUSTERTE KVOTER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</si>
  <si>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</si>
  <si>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</si>
  <si>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t>2 Registrert rekreasjonsfiske utgjør 61 tonn, men det legges til grunn at hele avsetningen tas</t>
  </si>
  <si>
    <t>4 Registrert rekreasjonsfiske utgjør 499 tonn, men det legges til grunn at hele avsetningen tas</t>
  </si>
  <si>
    <t>3 Registrert rekreasjonsfiske utgjør 875 tonn, men det legges til grunn at hele avsetningen tas</t>
  </si>
  <si>
    <t>FANGST UKE 40</t>
  </si>
  <si>
    <t>FANGST T.O.M UKE 40</t>
  </si>
  <si>
    <t>RESTKVOTER UKE 40</t>
  </si>
  <si>
    <t>FANGST T.O.M UKE 40 2023</t>
  </si>
  <si>
    <r>
      <t>3</t>
    </r>
    <r>
      <rPr>
        <sz val="9"/>
        <color indexed="8"/>
        <rFont val="Calibri"/>
        <family val="2"/>
      </rPr>
      <t xml:space="preserve"> Det er fisket 5 290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</si>
</sst>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6" tint="0.79998168889431442"/>
        <bgColor indexed="65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30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3" fontId="7" fillId="2" borderId="2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2" fillId="0" borderId="3" xfId="0" applyFont="1" applyBorder="1"/>
    <xf numFmtId="0" fontId="8" fillId="0" borderId="4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/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right" vertical="center"/>
    </xf>
    <xf numFmtId="9" fontId="2" fillId="0" borderId="0" xfId="0" applyNumberFormat="1" applyFont="1"/>
    <xf numFmtId="3" fontId="9" fillId="0" borderId="15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left" vertical="center"/>
    </xf>
    <xf numFmtId="3" fontId="14" fillId="0" borderId="1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16" xfId="0" applyFont="1" applyBorder="1" applyAlignment="1">
      <alignment vertical="center" wrapText="1"/>
    </xf>
    <xf numFmtId="3" fontId="2" fillId="0" borderId="17" xfId="0" applyNumberFormat="1" applyFont="1" applyBorder="1" applyAlignment="1">
      <alignment horizontal="right" vertical="center" wrapText="1"/>
    </xf>
    <xf numFmtId="3" fontId="7" fillId="0" borderId="0" xfId="0" applyNumberFormat="1" applyFont="1" applyAlignment="1">
      <alignment vertical="center" wrapText="1"/>
    </xf>
    <xf numFmtId="3" fontId="2" fillId="0" borderId="18" xfId="0" applyNumberFormat="1" applyFont="1" applyBorder="1" applyAlignment="1">
      <alignment horizontal="right" vertical="center" indent="1"/>
    </xf>
    <xf numFmtId="3" fontId="13" fillId="0" borderId="19" xfId="0" applyNumberFormat="1" applyFont="1" applyBorder="1" applyAlignment="1">
      <alignment horizontal="right" vertical="center"/>
    </xf>
    <xf numFmtId="3" fontId="16" fillId="0" borderId="20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vertical="center" wrapText="1"/>
    </xf>
    <xf numFmtId="3" fontId="7" fillId="3" borderId="2" xfId="0" applyNumberFormat="1" applyFont="1" applyFill="1" applyBorder="1" applyAlignment="1">
      <alignment horizontal="right" vertical="center" wrapText="1"/>
    </xf>
    <xf numFmtId="3" fontId="5" fillId="3" borderId="8" xfId="0" applyNumberFormat="1" applyFont="1" applyFill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vertical="center" wrapText="1"/>
    </xf>
    <xf numFmtId="3" fontId="9" fillId="0" borderId="22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0" fontId="2" fillId="0" borderId="21" xfId="0" applyFont="1" applyBorder="1" applyAlignment="1">
      <alignment vertical="center" wrapText="1"/>
    </xf>
    <xf numFmtId="3" fontId="2" fillId="0" borderId="26" xfId="0" applyNumberFormat="1" applyFont="1" applyBorder="1" applyAlignment="1">
      <alignment horizontal="right" vertical="center" wrapText="1"/>
    </xf>
    <xf numFmtId="3" fontId="2" fillId="0" borderId="27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7" fillId="2" borderId="14" xfId="0" applyFont="1" applyFill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3" fontId="17" fillId="0" borderId="2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2" fillId="0" borderId="30" xfId="0" applyFont="1" applyBorder="1"/>
    <xf numFmtId="3" fontId="17" fillId="0" borderId="17" xfId="0" applyNumberFormat="1" applyFont="1" applyBorder="1" applyAlignment="1">
      <alignment horizontal="right" vertical="center" wrapText="1"/>
    </xf>
    <xf numFmtId="0" fontId="18" fillId="0" borderId="23" xfId="0" applyFont="1" applyBorder="1" applyAlignment="1">
      <alignment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2" borderId="19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3" fontId="18" fillId="0" borderId="26" xfId="0" applyNumberFormat="1" applyFont="1" applyBorder="1" applyAlignment="1">
      <alignment horizontal="right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0" fontId="2" fillId="0" borderId="13" xfId="0" applyFont="1" applyBorder="1"/>
    <xf numFmtId="0" fontId="9" fillId="0" borderId="8" xfId="0" applyFont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3" fontId="17" fillId="0" borderId="28" xfId="0" applyNumberFormat="1" applyFont="1" applyBorder="1" applyAlignment="1">
      <alignment horizontal="right" vertical="center" wrapText="1"/>
    </xf>
    <xf numFmtId="3" fontId="7" fillId="2" borderId="32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7" fillId="2" borderId="33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3" fontId="9" fillId="0" borderId="34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/>
    </xf>
    <xf numFmtId="3" fontId="9" fillId="0" borderId="3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3" fontId="13" fillId="0" borderId="22" xfId="0" applyNumberFormat="1" applyFont="1" applyBorder="1" applyAlignment="1">
      <alignment vertical="center"/>
    </xf>
    <xf numFmtId="3" fontId="9" fillId="0" borderId="37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 wrapText="1"/>
    </xf>
    <xf numFmtId="3" fontId="2" fillId="0" borderId="33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2" borderId="40" xfId="0" applyFont="1" applyFill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right" vertical="center" indent="1"/>
    </xf>
    <xf numFmtId="0" fontId="2" fillId="0" borderId="3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2" fillId="0" borderId="36" xfId="0" applyNumberFormat="1" applyFont="1" applyBorder="1" applyAlignment="1">
      <alignment horizontal="right" vertical="center" indent="1"/>
    </xf>
    <xf numFmtId="0" fontId="2" fillId="0" borderId="7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3" fontId="17" fillId="0" borderId="41" xfId="0" applyNumberFormat="1" applyFont="1" applyBorder="1" applyAlignment="1">
      <alignment horizontal="right" vertical="center" wrapText="1"/>
    </xf>
    <xf numFmtId="0" fontId="2" fillId="0" borderId="42" xfId="0" applyFont="1" applyBorder="1"/>
    <xf numFmtId="3" fontId="9" fillId="0" borderId="8" xfId="0" applyNumberFormat="1" applyFont="1" applyBorder="1" applyAlignment="1">
      <alignment vertical="center"/>
    </xf>
    <xf numFmtId="3" fontId="17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" fillId="0" borderId="1" xfId="0" applyFont="1" applyBorder="1"/>
    <xf numFmtId="3" fontId="23" fillId="0" borderId="0" xfId="0" applyNumberFormat="1" applyFont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0" fontId="10" fillId="0" borderId="42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2" fillId="0" borderId="42" xfId="0" applyFont="1" applyBorder="1" applyAlignment="1">
      <alignment vertical="center"/>
    </xf>
    <xf numFmtId="3" fontId="9" fillId="0" borderId="8" xfId="0" applyNumberFormat="1" applyFont="1" applyBorder="1" applyAlignment="1">
      <alignment horizontal="right" vertical="center" wrapText="1"/>
    </xf>
    <xf numFmtId="0" fontId="9" fillId="0" borderId="3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3" fontId="9" fillId="0" borderId="32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2" xfId="0" applyNumberFormat="1" applyFont="1" applyBorder="1" applyAlignment="1">
      <alignment horizontal="right" vertical="center" wrapText="1"/>
    </xf>
    <xf numFmtId="0" fontId="9" fillId="0" borderId="37" xfId="0" applyFont="1" applyBorder="1" applyAlignment="1">
      <alignment vertical="center"/>
    </xf>
    <xf numFmtId="0" fontId="23" fillId="0" borderId="37" xfId="0" applyFont="1" applyBorder="1" applyAlignment="1">
      <alignment vertical="center"/>
    </xf>
    <xf numFmtId="0" fontId="2" fillId="0" borderId="22" xfId="0" applyFont="1" applyBorder="1"/>
    <xf numFmtId="0" fontId="7" fillId="2" borderId="29" xfId="0" applyFont="1" applyFill="1" applyBorder="1" applyAlignment="1">
      <alignment horizontal="center" vertical="center"/>
    </xf>
    <xf numFmtId="0" fontId="2" fillId="0" borderId="0" xfId="0" applyFont="1"/>
    <xf numFmtId="0" fontId="23" fillId="0" borderId="0" xfId="0" applyFont="1"/>
    <xf numFmtId="3" fontId="9" fillId="0" borderId="12" xfId="0" applyNumberFormat="1" applyFont="1" applyBorder="1" applyAlignment="1">
      <alignment horizontal="right" vertical="center"/>
    </xf>
    <xf numFmtId="0" fontId="2" fillId="0" borderId="4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5" xfId="0" applyFont="1" applyBorder="1"/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2" borderId="29" xfId="0" applyFont="1" applyFill="1" applyBorder="1" applyAlignment="1">
      <alignment vertical="center" wrapText="1"/>
    </xf>
    <xf numFmtId="3" fontId="2" fillId="0" borderId="39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30" xfId="0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1" fillId="0" borderId="4" xfId="0" applyFont="1" applyBorder="1" applyAlignment="1">
      <alignment vertical="center" wrapText="1"/>
    </xf>
    <xf numFmtId="3" fontId="9" fillId="0" borderId="37" xfId="0" applyNumberFormat="1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" fontId="11" fillId="0" borderId="0" xfId="0" applyNumberFormat="1" applyFont="1"/>
    <xf numFmtId="3" fontId="9" fillId="0" borderId="28" xfId="0" applyNumberFormat="1" applyFont="1" applyBorder="1" applyAlignment="1">
      <alignment horizontal="right" vertical="center"/>
    </xf>
    <xf numFmtId="3" fontId="2" fillId="0" borderId="29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2" borderId="8" xfId="0" applyFont="1" applyFill="1" applyBorder="1" applyAlignment="1">
      <alignment horizontal="left" vertical="center" wrapText="1"/>
    </xf>
    <xf numFmtId="0" fontId="9" fillId="0" borderId="45" xfId="0" applyFont="1" applyBorder="1" applyAlignment="1">
      <alignment vertical="center" wrapText="1"/>
    </xf>
    <xf numFmtId="3" fontId="9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8" fillId="0" borderId="2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indent="1"/>
    </xf>
    <xf numFmtId="3" fontId="7" fillId="2" borderId="8" xfId="0" applyNumberFormat="1" applyFont="1" applyFill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3" fontId="18" fillId="0" borderId="28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1" fontId="18" fillId="0" borderId="0" xfId="0" applyNumberFormat="1" applyFont="1" applyAlignment="1">
      <alignment horizontal="right" vertical="center" wrapText="1"/>
    </xf>
    <xf numFmtId="1" fontId="9" fillId="0" borderId="22" xfId="0" applyNumberFormat="1" applyFont="1" applyBorder="1" applyAlignment="1">
      <alignment horizontal="right" vertical="center"/>
    </xf>
    <xf numFmtId="1" fontId="14" fillId="0" borderId="12" xfId="0" applyNumberFormat="1" applyFont="1" applyBorder="1" applyAlignment="1">
      <alignment horizontal="right" vertical="top"/>
    </xf>
    <xf numFmtId="1" fontId="13" fillId="0" borderId="22" xfId="0" applyNumberFormat="1" applyFont="1" applyBorder="1" applyAlignment="1">
      <alignment vertical="center"/>
    </xf>
    <xf numFmtId="1" fontId="9" fillId="0" borderId="38" xfId="0" applyNumberFormat="1" applyFont="1" applyBorder="1" applyAlignment="1">
      <alignment horizontal="right" vertical="center"/>
    </xf>
    <xf numFmtId="1" fontId="14" fillId="0" borderId="36" xfId="0" applyNumberFormat="1" applyFont="1" applyBorder="1" applyAlignment="1">
      <alignment horizontal="right" vertical="top"/>
    </xf>
    <xf numFmtId="1" fontId="13" fillId="0" borderId="38" xfId="0" applyNumberFormat="1" applyFont="1" applyBorder="1" applyAlignment="1">
      <alignment vertical="center"/>
    </xf>
    <xf numFmtId="0" fontId="2" fillId="0" borderId="4" xfId="0" applyFont="1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" fontId="27" fillId="0" borderId="8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left" wrapText="1"/>
    </xf>
    <xf numFmtId="0" fontId="29" fillId="0" borderId="0" xfId="0" applyFont="1"/>
    <xf numFmtId="0" fontId="30" fillId="0" borderId="7" xfId="0" applyFont="1" applyBorder="1" applyAlignment="1">
      <alignment vertical="center"/>
    </xf>
    <xf numFmtId="3" fontId="9" fillId="0" borderId="45" xfId="0" applyNumberFormat="1" applyFont="1" applyBorder="1" applyAlignment="1">
      <alignment horizontal="right"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4" fillId="0" borderId="33" xfId="0" applyFont="1" applyBorder="1" applyAlignment="1">
      <alignment vertical="top" wrapText="1"/>
    </xf>
    <xf numFmtId="3" fontId="9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2" fillId="0" borderId="0" xfId="0" applyNumberFormat="1" applyFont="1"/>
    <xf numFmtId="0" fontId="22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3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10" fillId="0" borderId="5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11" fillId="0" borderId="10" xfId="0" applyFont="1" applyBorder="1" applyAlignment="1">
      <alignment vertical="center" wrapText="1"/>
    </xf>
    <xf numFmtId="0" fontId="10" fillId="0" borderId="53" xfId="0" applyFont="1" applyBorder="1" applyAlignment="1">
      <alignment horizontal="center" vertical="center"/>
    </xf>
    <xf numFmtId="0" fontId="2" fillId="0" borderId="10" xfId="0" applyFont="1" applyBorder="1"/>
    <xf numFmtId="0" fontId="32" fillId="0" borderId="13" xfId="0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3" fontId="9" fillId="0" borderId="20" xfId="0" applyNumberFormat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3" fontId="2" fillId="0" borderId="33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39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0" fontId="7" fillId="2" borderId="29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0" fontId="11" fillId="0" borderId="39" xfId="0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3" fontId="2" fillId="0" borderId="50" xfId="0" applyNumberFormat="1" applyFont="1" applyBorder="1" applyAlignment="1">
      <alignment horizontal="right" vertical="center" indent="1"/>
    </xf>
    <xf numFmtId="3" fontId="23" fillId="0" borderId="24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 wrapText="1"/>
    </xf>
    <xf numFmtId="0" fontId="2" fillId="0" borderId="28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9" fillId="0" borderId="6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3" fontId="16" fillId="0" borderId="34" xfId="0" applyNumberFormat="1" applyFont="1" applyBorder="1" applyAlignment="1">
      <alignment vertical="center"/>
    </xf>
    <xf numFmtId="3" fontId="9" fillId="0" borderId="3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3" borderId="8" xfId="0" applyFont="1" applyFill="1" applyBorder="1" applyAlignment="1">
      <alignment horizontal="left" vertical="center" wrapText="1"/>
    </xf>
    <xf numFmtId="3" fontId="7" fillId="3" borderId="32" xfId="0" applyNumberFormat="1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3" fontId="33" fillId="0" borderId="0" xfId="0" applyNumberFormat="1" applyFont="1" applyAlignment="1">
      <alignment horizontal="right" vertical="center" wrapText="1"/>
    </xf>
    <xf numFmtId="0" fontId="10" fillId="0" borderId="0" xfId="0" applyFont="1"/>
    <xf numFmtId="3" fontId="2" fillId="0" borderId="37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3" fontId="9" fillId="0" borderId="37" xfId="0" applyNumberFormat="1" applyFont="1" applyBorder="1" applyAlignment="1">
      <alignment horizontal="right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left" wrapText="1"/>
    </xf>
    <xf numFmtId="0" fontId="4" fillId="0" borderId="33" xfId="0" applyFont="1" applyBorder="1" applyAlignment="1">
      <alignment horizontal="left" vertical="top" wrapText="1"/>
    </xf>
    <xf numFmtId="0" fontId="28" fillId="0" borderId="4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</cellXfs>
  <cellStyles count="2">
    <cellStyle name="20 % - uthevingsfarge 3" xfId="1" xr:uid="{C869A084-7E2C-4920-B461-C16A81A22F5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25" zoomScale="85" zoomScaleNormal="85" zoomScaleSheetLayoutView="100" zoomScalePageLayoutView="85" workbookViewId="0">
      <selection activeCell="G35" sqref="G35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03" t="s">
        <v>118</v>
      </c>
      <c r="C2" s="304"/>
      <c r="D2" s="304"/>
      <c r="E2" s="304"/>
      <c r="F2" s="304"/>
      <c r="G2" s="304"/>
      <c r="H2" s="304"/>
      <c r="I2" s="304"/>
      <c r="J2" s="305"/>
    </row>
    <row r="3" spans="1:10" ht="14.9" customHeight="1" x14ac:dyDescent="0.3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6"/>
      <c r="C9" s="307"/>
      <c r="D9" s="307"/>
      <c r="E9" s="307"/>
      <c r="F9" s="307"/>
      <c r="G9" s="307"/>
      <c r="H9" s="307"/>
      <c r="I9" s="307"/>
      <c r="J9" s="308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4"/>
    </row>
    <row r="12" spans="1:10" ht="14.15" customHeight="1" x14ac:dyDescent="0.3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3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3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3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5" customHeight="1" x14ac:dyDescent="0.3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35">
      <c r="A17" s="101"/>
      <c r="B17" s="24"/>
      <c r="C17" s="302" t="s">
        <v>135</v>
      </c>
      <c r="D17" s="302"/>
      <c r="E17" s="302"/>
      <c r="F17" s="302"/>
      <c r="G17" s="302"/>
      <c r="H17" s="302"/>
      <c r="I17" s="101"/>
      <c r="J17" s="157"/>
    </row>
    <row r="18" spans="1:10" ht="15" customHeight="1" x14ac:dyDescent="0.3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5" customHeight="1" x14ac:dyDescent="0.3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296.20050000000003</v>
      </c>
      <c r="G23" s="28">
        <f>G25+G24</f>
        <v>43429.34332</v>
      </c>
      <c r="H23" s="11">
        <f t="shared" si="0"/>
        <v>17382.656679999996</v>
      </c>
      <c r="I23" s="11">
        <f t="shared" si="0"/>
        <v>62604.963709999996</v>
      </c>
      <c r="J23" s="244"/>
    </row>
    <row r="24" spans="1:10" ht="14.15" customHeight="1" x14ac:dyDescent="0.35">
      <c r="A24" s="1"/>
      <c r="B24" s="254"/>
      <c r="C24" s="44" t="s">
        <v>20</v>
      </c>
      <c r="D24" s="45">
        <v>61689</v>
      </c>
      <c r="E24" s="45">
        <v>60042</v>
      </c>
      <c r="F24" s="23">
        <f>295.692</f>
        <v>295.69200000000001</v>
      </c>
      <c r="G24" s="23">
        <f>42900.23653</f>
        <v>42900.236530000002</v>
      </c>
      <c r="H24" s="23">
        <f>E24-G24</f>
        <v>17141.763469999998</v>
      </c>
      <c r="I24" s="23">
        <f>62167.93036</f>
        <v>62167.930359999998</v>
      </c>
      <c r="J24" s="244"/>
    </row>
    <row r="25" spans="1:10" ht="14.15" customHeight="1" x14ac:dyDescent="0.35">
      <c r="A25" s="1"/>
      <c r="B25" s="254"/>
      <c r="C25" s="48" t="s">
        <v>21</v>
      </c>
      <c r="D25" s="49">
        <v>750</v>
      </c>
      <c r="E25" s="49">
        <v>770</v>
      </c>
      <c r="F25" s="171">
        <f>0.5085</f>
        <v>0.50849999999999995</v>
      </c>
      <c r="G25" s="23">
        <f>529.10679</f>
        <v>529.10679000000005</v>
      </c>
      <c r="H25" s="23">
        <f>E25-G25</f>
        <v>240.89320999999995</v>
      </c>
      <c r="I25" s="23">
        <f>437.03335</f>
        <v>437.03334999999998</v>
      </c>
      <c r="J25" s="244"/>
    </row>
    <row r="26" spans="1:10" ht="14.15" customHeight="1" x14ac:dyDescent="0.3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370.50769000000003</v>
      </c>
      <c r="G26" s="11">
        <f>G34+G33+G27</f>
        <v>125669.77712000001</v>
      </c>
      <c r="H26" s="11">
        <f t="shared" si="1"/>
        <v>19204.222880000001</v>
      </c>
      <c r="I26" s="11">
        <f t="shared" si="1"/>
        <v>187367.38234000001</v>
      </c>
      <c r="J26" s="244"/>
    </row>
    <row r="27" spans="1:10" ht="15" customHeight="1" x14ac:dyDescent="0.3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236.54345000000001</v>
      </c>
      <c r="G27" s="132">
        <f>G28+G29+G30+G31+G32</f>
        <v>102276.02809000001</v>
      </c>
      <c r="H27" s="132">
        <f t="shared" ref="H27:I27" si="2">H28+H29+H30+H31+H32</f>
        <v>10701.97191</v>
      </c>
      <c r="I27" s="132">
        <f t="shared" si="2"/>
        <v>146299.46189000001</v>
      </c>
      <c r="J27" s="244"/>
    </row>
    <row r="28" spans="1:10" ht="14.15" customHeight="1" x14ac:dyDescent="0.35">
      <c r="A28" s="197"/>
      <c r="B28" s="182"/>
      <c r="C28" s="62" t="s">
        <v>24</v>
      </c>
      <c r="D28" s="63">
        <v>26791</v>
      </c>
      <c r="E28" s="63">
        <v>28630</v>
      </c>
      <c r="F28" s="203">
        <f>37.67649</f>
        <v>37.676490000000001</v>
      </c>
      <c r="G28" s="127">
        <f>26560.51571 - G56</f>
        <v>25833.51571</v>
      </c>
      <c r="H28" s="127">
        <f t="shared" ref="H28:H40" si="3">E28-G28</f>
        <v>2796.4842900000003</v>
      </c>
      <c r="I28" s="127">
        <f>37325.19198 - H56</f>
        <v>37325.191980000003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28753</v>
      </c>
      <c r="E29" s="63">
        <v>29665</v>
      </c>
      <c r="F29" s="127">
        <f>88.23484</f>
        <v>88.234840000000005</v>
      </c>
      <c r="G29" s="127">
        <f>28932.82763 - G57</f>
        <v>27877.82763</v>
      </c>
      <c r="H29" s="127">
        <f t="shared" si="3"/>
        <v>1787.1723700000002</v>
      </c>
      <c r="I29" s="127">
        <f>39934.11108 - H57</f>
        <v>39934.111080000002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25789</v>
      </c>
      <c r="E30" s="63">
        <v>27244</v>
      </c>
      <c r="F30" s="127">
        <f>7.16152</f>
        <v>7.1615200000000003</v>
      </c>
      <c r="G30" s="127">
        <f>26825.52552 - G58</f>
        <v>25660.525519999999</v>
      </c>
      <c r="H30" s="127">
        <f t="shared" si="3"/>
        <v>1583.4744800000008</v>
      </c>
      <c r="I30" s="127">
        <f>37509.85679 - H58</f>
        <v>37509.856789999998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18937</v>
      </c>
      <c r="E31" s="63">
        <v>19339</v>
      </c>
      <c r="F31" s="127">
        <f>17.4706</f>
        <v>17.470600000000001</v>
      </c>
      <c r="G31" s="127">
        <f>19957.15923 - G59</f>
        <v>18967.159230000001</v>
      </c>
      <c r="H31" s="127">
        <f t="shared" si="3"/>
        <v>371.84076999999888</v>
      </c>
      <c r="I31" s="127">
        <f>25189.30204 - H59</f>
        <v>25189.302039999999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8100</v>
      </c>
      <c r="F32" s="127">
        <f>F55</f>
        <v>86</v>
      </c>
      <c r="G32" s="127">
        <f>G55</f>
        <v>3937</v>
      </c>
      <c r="H32" s="127">
        <f>E32-G32</f>
        <v>4163</v>
      </c>
      <c r="I32" s="127">
        <f>I55</f>
        <v>6341</v>
      </c>
      <c r="J32" s="65"/>
    </row>
    <row r="33" spans="1:13" ht="14.15" customHeight="1" x14ac:dyDescent="0.35">
      <c r="A33" s="66"/>
      <c r="B33" s="53"/>
      <c r="C33" s="56" t="s">
        <v>29</v>
      </c>
      <c r="D33" s="58">
        <v>16997</v>
      </c>
      <c r="E33" s="58">
        <v>16859</v>
      </c>
      <c r="F33" s="132">
        <f>85.85986</f>
        <v>85.859859999999998</v>
      </c>
      <c r="G33" s="132">
        <f>11246.04124</f>
        <v>11246.04124</v>
      </c>
      <c r="H33" s="132">
        <f t="shared" si="3"/>
        <v>5612.9587599999995</v>
      </c>
      <c r="I33" s="132">
        <f>16378.36623</f>
        <v>16378.36623</v>
      </c>
      <c r="J33" s="65"/>
    </row>
    <row r="34" spans="1:13" ht="14.15" customHeight="1" x14ac:dyDescent="0.3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48.104379999999999</v>
      </c>
      <c r="G34" s="132">
        <f>G35+G36</f>
        <v>12147.70779</v>
      </c>
      <c r="H34" s="132">
        <f t="shared" si="3"/>
        <v>2889.2922099999996</v>
      </c>
      <c r="I34" s="132">
        <f>I35+I36</f>
        <v>24689.554220000002</v>
      </c>
      <c r="J34" s="65"/>
    </row>
    <row r="35" spans="1:13" ht="14.15" customHeight="1" x14ac:dyDescent="0.3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29.10438</f>
        <v>29.104379999999999</v>
      </c>
      <c r="G35" s="132">
        <f>14977.70779 - G60 - G61</f>
        <v>11668.70779</v>
      </c>
      <c r="H35" s="127">
        <f t="shared" si="3"/>
        <v>2408.2922099999996</v>
      </c>
      <c r="I35" s="127">
        <f>24750.55422 - H60 - H61</f>
        <v>24099.554220000002</v>
      </c>
      <c r="J35" s="65"/>
    </row>
    <row r="36" spans="1:13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19</v>
      </c>
      <c r="G36" s="71">
        <f>G60</f>
        <v>479</v>
      </c>
      <c r="H36" s="71">
        <f t="shared" si="3"/>
        <v>481</v>
      </c>
      <c r="I36" s="71">
        <f>I60</f>
        <v>590</v>
      </c>
      <c r="J36" s="65"/>
    </row>
    <row r="37" spans="1:13" ht="15.75" customHeight="1" x14ac:dyDescent="0.3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5" customHeight="1" x14ac:dyDescent="0.35">
      <c r="A38" s="1"/>
      <c r="B38" s="254"/>
      <c r="C38" s="73" t="s">
        <v>34</v>
      </c>
      <c r="D38" s="143">
        <v>855</v>
      </c>
      <c r="E38" s="143">
        <v>855</v>
      </c>
      <c r="F38" s="98">
        <f>1.83225</f>
        <v>1.8322499999999999</v>
      </c>
      <c r="G38" s="98">
        <f>485.01148</f>
        <v>485.01148000000001</v>
      </c>
      <c r="H38" s="98">
        <f t="shared" si="3"/>
        <v>369.98851999999999</v>
      </c>
      <c r="I38" s="98">
        <f>505.04922</f>
        <v>505.04921999999999</v>
      </c>
      <c r="J38" s="244"/>
    </row>
    <row r="39" spans="1:13" ht="17.25" customHeight="1" x14ac:dyDescent="0.3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7</v>
      </c>
      <c r="G39" s="98">
        <f>G61</f>
        <v>2830</v>
      </c>
      <c r="H39" s="98">
        <f t="shared" si="3"/>
        <v>170</v>
      </c>
      <c r="I39" s="98">
        <f>I61</f>
        <v>4396</v>
      </c>
      <c r="J39" s="244"/>
    </row>
    <row r="40" spans="1:13" ht="17.25" customHeight="1" x14ac:dyDescent="0.35">
      <c r="A40" s="1"/>
      <c r="B40" s="254"/>
      <c r="C40" s="73" t="s">
        <v>36</v>
      </c>
      <c r="D40" s="143">
        <v>7000</v>
      </c>
      <c r="E40" s="143">
        <v>7000</v>
      </c>
      <c r="F40" s="98">
        <f>0.30135</f>
        <v>0.30135000000000001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35">
      <c r="A41" s="1"/>
      <c r="B41" s="254"/>
      <c r="C41" s="73" t="s">
        <v>38</v>
      </c>
      <c r="D41" s="143">
        <v>400</v>
      </c>
      <c r="E41" s="143">
        <v>400</v>
      </c>
      <c r="F41" s="98">
        <f>0.8748</f>
        <v>0.87480000000000002</v>
      </c>
      <c r="G41" s="98">
        <f>341.29712</f>
        <v>341.29712000000001</v>
      </c>
      <c r="H41" s="98">
        <f>E41-G41</f>
        <v>58.702879999999993</v>
      </c>
      <c r="I41" s="98">
        <f>355.69735</f>
        <v>355.69734999999997</v>
      </c>
      <c r="J41" s="244"/>
    </row>
    <row r="42" spans="1:13" ht="17.25" customHeight="1" x14ac:dyDescent="0.35">
      <c r="A42" s="1"/>
      <c r="B42" s="254"/>
      <c r="C42" s="73" t="s">
        <v>125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5" customHeight="1" x14ac:dyDescent="0.35">
      <c r="A43" s="1"/>
      <c r="B43" s="254"/>
      <c r="C43" s="73" t="s">
        <v>39</v>
      </c>
      <c r="D43" s="143"/>
      <c r="E43" s="139"/>
      <c r="F43" s="139">
        <f>0</f>
        <v>0</v>
      </c>
      <c r="G43" s="139">
        <f>114.54783</f>
        <v>114.54783</v>
      </c>
      <c r="H43" s="139">
        <f t="shared" ref="H43" si="4">E43-G43</f>
        <v>-114.54783</v>
      </c>
      <c r="I43" s="139">
        <f>107.11392</f>
        <v>107.11391999999999</v>
      </c>
      <c r="J43" s="244"/>
    </row>
    <row r="44" spans="1:13" ht="16.5" customHeight="1" x14ac:dyDescent="0.3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676.71659000000011</v>
      </c>
      <c r="G44" s="76">
        <f t="shared" si="5"/>
        <v>180218.34207000001</v>
      </c>
      <c r="H44" s="76">
        <f t="shared" si="5"/>
        <v>38822.657929999994</v>
      </c>
      <c r="I44" s="76">
        <f t="shared" si="5"/>
        <v>263082.99813999992</v>
      </c>
      <c r="J44" s="244"/>
    </row>
    <row r="45" spans="1:13" ht="14.15" customHeight="1" x14ac:dyDescent="0.35">
      <c r="A45" s="101"/>
      <c r="B45" s="24"/>
      <c r="C45" s="77" t="s">
        <v>126</v>
      </c>
      <c r="D45" s="258"/>
      <c r="E45" s="258"/>
      <c r="F45" s="80"/>
      <c r="G45" s="80"/>
      <c r="H45" s="228"/>
      <c r="I45" s="228"/>
      <c r="J45" s="81"/>
    </row>
    <row r="46" spans="1:13" ht="14.15" customHeight="1" x14ac:dyDescent="0.3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5" customHeight="1" x14ac:dyDescent="0.3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5" customHeight="1" x14ac:dyDescent="0.35">
      <c r="A48" s="101"/>
      <c r="B48" s="24"/>
      <c r="C48" s="161" t="s">
        <v>127</v>
      </c>
      <c r="D48" s="258"/>
      <c r="E48" s="258"/>
      <c r="F48" s="258"/>
      <c r="G48" s="258"/>
      <c r="H48" s="178"/>
      <c r="I48" s="178"/>
      <c r="J48" s="120"/>
    </row>
    <row r="49" spans="1:10" ht="14.15" customHeight="1" x14ac:dyDescent="0.3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5" customHeight="1" x14ac:dyDescent="0.3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3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3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3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35">
      <c r="A54" s="101"/>
      <c r="B54" s="24"/>
      <c r="C54" s="86" t="s">
        <v>16</v>
      </c>
      <c r="D54" s="68" t="s">
        <v>44</v>
      </c>
      <c r="E54" s="68" t="s">
        <v>139</v>
      </c>
      <c r="F54" s="68" t="s">
        <v>146</v>
      </c>
      <c r="G54" s="68" t="s">
        <v>147</v>
      </c>
      <c r="H54" s="68" t="s">
        <v>148</v>
      </c>
      <c r="I54" s="68" t="s">
        <v>149</v>
      </c>
      <c r="J54" s="244"/>
    </row>
    <row r="55" spans="1:10" ht="14.15" customHeight="1" x14ac:dyDescent="0.35">
      <c r="A55" s="101"/>
      <c r="B55" s="24"/>
      <c r="C55" s="16" t="s">
        <v>45</v>
      </c>
      <c r="D55" s="295">
        <v>7872</v>
      </c>
      <c r="E55" s="295">
        <v>8100</v>
      </c>
      <c r="F55" s="11">
        <f>F59+F58+F57+F56</f>
        <v>86</v>
      </c>
      <c r="G55" s="11">
        <f>G59+G58+G57+G56</f>
        <v>3937</v>
      </c>
      <c r="H55" s="295">
        <f>E55-G55</f>
        <v>4163</v>
      </c>
      <c r="I55" s="11">
        <f>I59+I58+I57+I56</f>
        <v>6341</v>
      </c>
      <c r="J55" s="120"/>
    </row>
    <row r="56" spans="1:10" ht="14.15" customHeight="1" x14ac:dyDescent="0.35">
      <c r="A56" s="101"/>
      <c r="B56" s="24"/>
      <c r="C56" s="62" t="s">
        <v>24</v>
      </c>
      <c r="D56" s="296"/>
      <c r="E56" s="296"/>
      <c r="F56" s="127">
        <v>29</v>
      </c>
      <c r="G56" s="127">
        <v>727</v>
      </c>
      <c r="H56" s="296"/>
      <c r="I56" s="127">
        <v>824</v>
      </c>
      <c r="J56" s="120"/>
    </row>
    <row r="57" spans="1:10" ht="14.15" customHeight="1" x14ac:dyDescent="0.35">
      <c r="A57" s="101"/>
      <c r="B57" s="24"/>
      <c r="C57" s="62" t="s">
        <v>25</v>
      </c>
      <c r="D57" s="296"/>
      <c r="E57" s="296"/>
      <c r="F57" s="127">
        <v>32</v>
      </c>
      <c r="G57" s="127">
        <v>1055</v>
      </c>
      <c r="H57" s="296"/>
      <c r="I57" s="127">
        <v>1885</v>
      </c>
      <c r="J57" s="244"/>
    </row>
    <row r="58" spans="1:10" ht="14.15" customHeight="1" x14ac:dyDescent="0.35">
      <c r="A58" s="101"/>
      <c r="B58" s="24"/>
      <c r="C58" s="62" t="s">
        <v>26</v>
      </c>
      <c r="D58" s="296"/>
      <c r="E58" s="296"/>
      <c r="F58" s="127">
        <v>10</v>
      </c>
      <c r="G58" s="127">
        <v>1165</v>
      </c>
      <c r="H58" s="296"/>
      <c r="I58" s="127">
        <v>2474</v>
      </c>
      <c r="J58" s="120"/>
    </row>
    <row r="59" spans="1:10" ht="14.15" customHeight="1" thickBot="1" x14ac:dyDescent="0.4">
      <c r="A59" s="101"/>
      <c r="B59" s="24"/>
      <c r="C59" s="87" t="s">
        <v>27</v>
      </c>
      <c r="D59" s="297"/>
      <c r="E59" s="297"/>
      <c r="F59" s="192">
        <v>15</v>
      </c>
      <c r="G59" s="192">
        <v>990</v>
      </c>
      <c r="H59" s="297"/>
      <c r="I59" s="192">
        <v>1158</v>
      </c>
      <c r="J59" s="120"/>
    </row>
    <row r="60" spans="1:10" ht="14.15" customHeight="1" thickBot="1" x14ac:dyDescent="0.4">
      <c r="A60" s="101"/>
      <c r="B60" s="24"/>
      <c r="C60" s="88" t="s">
        <v>46</v>
      </c>
      <c r="D60" s="95">
        <v>960</v>
      </c>
      <c r="E60" s="95">
        <v>960</v>
      </c>
      <c r="F60" s="95">
        <v>19</v>
      </c>
      <c r="G60" s="95">
        <v>479</v>
      </c>
      <c r="H60" s="95">
        <f>E60-G60</f>
        <v>481</v>
      </c>
      <c r="I60" s="95">
        <v>590</v>
      </c>
      <c r="J60" s="244"/>
    </row>
    <row r="61" spans="1:10" ht="14.15" customHeight="1" thickBot="1" x14ac:dyDescent="0.4">
      <c r="A61" s="101"/>
      <c r="B61" s="24"/>
      <c r="C61" s="142" t="s">
        <v>47</v>
      </c>
      <c r="D61" s="139">
        <v>3000</v>
      </c>
      <c r="E61" s="139">
        <v>3000</v>
      </c>
      <c r="F61" s="139">
        <v>7</v>
      </c>
      <c r="G61" s="139">
        <v>2830</v>
      </c>
      <c r="H61" s="139">
        <f>E61-G61</f>
        <v>170</v>
      </c>
      <c r="I61" s="139">
        <v>4396</v>
      </c>
      <c r="J61" s="120"/>
    </row>
    <row r="62" spans="1:10" ht="14.15" customHeight="1" x14ac:dyDescent="0.35">
      <c r="A62" s="101"/>
      <c r="B62" s="24"/>
      <c r="C62" s="77" t="s">
        <v>128</v>
      </c>
      <c r="D62" s="258"/>
      <c r="E62" s="258"/>
      <c r="F62" s="258"/>
      <c r="G62" s="258"/>
      <c r="H62" s="178"/>
      <c r="I62" s="178"/>
      <c r="J62" s="120"/>
    </row>
    <row r="63" spans="1:10" ht="14.15" customHeight="1" x14ac:dyDescent="0.3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3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3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35">
      <c r="B68" s="1" t="s">
        <v>113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35"/>
    <row r="77" spans="1:10" ht="204" customHeight="1" x14ac:dyDescent="0.35"/>
    <row r="78" spans="1:10" ht="17.149999999999999" customHeight="1" x14ac:dyDescent="0.3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9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3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4"/>
    </row>
    <row r="82" spans="1:10" ht="15" customHeight="1" x14ac:dyDescent="0.3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3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5" customHeight="1" x14ac:dyDescent="0.3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3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35">
      <c r="A86" s="1"/>
      <c r="B86" s="254"/>
      <c r="C86" s="101" t="s">
        <v>136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3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5" customHeight="1" x14ac:dyDescent="0.3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3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4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3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5" customHeight="1" x14ac:dyDescent="0.3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15.496600000000001</v>
      </c>
      <c r="G92" s="11">
        <f t="shared" si="6"/>
        <v>23617.947819999998</v>
      </c>
      <c r="H92" s="11">
        <f t="shared" si="6"/>
        <v>2343.052180000001</v>
      </c>
      <c r="I92" s="11">
        <f t="shared" si="6"/>
        <v>39887.706730000005</v>
      </c>
      <c r="J92" s="244"/>
    </row>
    <row r="93" spans="1:10" ht="15" customHeight="1" x14ac:dyDescent="0.35">
      <c r="A93" s="1"/>
      <c r="B93" s="254"/>
      <c r="C93" s="44" t="s">
        <v>20</v>
      </c>
      <c r="D93" s="45">
        <v>25957</v>
      </c>
      <c r="E93" s="45">
        <v>25136</v>
      </c>
      <c r="F93" s="23">
        <f>13.5408</f>
        <v>13.540800000000001</v>
      </c>
      <c r="G93" s="23">
        <f>22823.97527</f>
        <v>22823.975269999999</v>
      </c>
      <c r="H93" s="23">
        <f>E93-G93</f>
        <v>2312.024730000001</v>
      </c>
      <c r="I93" s="23">
        <f>39346.96534</f>
        <v>39346.965340000002</v>
      </c>
      <c r="J93" s="244"/>
    </row>
    <row r="94" spans="1:10" ht="14.15" customHeight="1" x14ac:dyDescent="0.35">
      <c r="A94" s="1"/>
      <c r="B94" s="254"/>
      <c r="C94" s="64" t="s">
        <v>21</v>
      </c>
      <c r="D94" s="49">
        <v>750</v>
      </c>
      <c r="E94" s="49">
        <v>825</v>
      </c>
      <c r="F94" s="50">
        <f>1.9558</f>
        <v>1.9558</v>
      </c>
      <c r="G94" s="50">
        <f>793.97255</f>
        <v>793.97254999999996</v>
      </c>
      <c r="H94" s="50">
        <f>E94-G94</f>
        <v>31.027450000000044</v>
      </c>
      <c r="I94" s="50">
        <f>540.74139</f>
        <v>540.74139000000002</v>
      </c>
      <c r="J94" s="244"/>
    </row>
    <row r="95" spans="1:10" ht="15.75" customHeight="1" x14ac:dyDescent="0.3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203.30531999999999</v>
      </c>
      <c r="G95" s="11">
        <f t="shared" si="7"/>
        <v>40099.940919999994</v>
      </c>
      <c r="H95" s="11">
        <f t="shared" si="7"/>
        <v>8894.0590800000009</v>
      </c>
      <c r="I95" s="11">
        <f t="shared" si="7"/>
        <v>31010.176920000002</v>
      </c>
      <c r="J95" s="244"/>
    </row>
    <row r="96" spans="1:10" ht="14.15" customHeight="1" x14ac:dyDescent="0.3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146.47942999999998</v>
      </c>
      <c r="G96" s="132">
        <f t="shared" si="8"/>
        <v>32339.22435</v>
      </c>
      <c r="H96" s="132">
        <f t="shared" si="8"/>
        <v>5154.7756500000014</v>
      </c>
      <c r="I96" s="132">
        <f t="shared" si="8"/>
        <v>21994.673880000002</v>
      </c>
      <c r="J96" s="244"/>
    </row>
    <row r="97" spans="1:10" ht="14.15" customHeight="1" x14ac:dyDescent="0.35">
      <c r="A97" s="197"/>
      <c r="B97" s="182"/>
      <c r="C97" s="62" t="s">
        <v>24</v>
      </c>
      <c r="D97" s="63">
        <v>8940</v>
      </c>
      <c r="E97" s="63">
        <v>10015</v>
      </c>
      <c r="F97" s="127">
        <f>90.1328</f>
        <v>90.132800000000003</v>
      </c>
      <c r="G97" s="127">
        <f>5201.311</f>
        <v>5201.3109999999997</v>
      </c>
      <c r="H97" s="127">
        <f t="shared" ref="H97:H104" si="9">E97-G97</f>
        <v>4813.6890000000003</v>
      </c>
      <c r="I97" s="127">
        <f>3518.023</f>
        <v>3518.0230000000001</v>
      </c>
      <c r="J97" s="244"/>
    </row>
    <row r="98" spans="1:10" ht="14.15" customHeight="1" x14ac:dyDescent="0.35">
      <c r="A98" s="197"/>
      <c r="B98" s="182"/>
      <c r="C98" s="62" t="s">
        <v>51</v>
      </c>
      <c r="D98" s="63">
        <v>9469</v>
      </c>
      <c r="E98" s="63">
        <v>10614</v>
      </c>
      <c r="F98" s="127">
        <f>10.10297</f>
        <v>10.102969999999999</v>
      </c>
      <c r="G98" s="127">
        <f>10474.03768</f>
        <v>10474.037679999999</v>
      </c>
      <c r="H98" s="127">
        <f t="shared" si="9"/>
        <v>139.96232000000055</v>
      </c>
      <c r="I98" s="127">
        <f>6728.41664</f>
        <v>6728.4166400000004</v>
      </c>
      <c r="J98" s="244"/>
    </row>
    <row r="99" spans="1:10" ht="14.15" customHeight="1" x14ac:dyDescent="0.35">
      <c r="A99" s="197"/>
      <c r="B99" s="182"/>
      <c r="C99" s="62" t="s">
        <v>52</v>
      </c>
      <c r="D99" s="63">
        <v>9029</v>
      </c>
      <c r="E99" s="63">
        <v>10112</v>
      </c>
      <c r="F99" s="127">
        <f>14.09794</f>
        <v>14.097939999999999</v>
      </c>
      <c r="G99" s="127">
        <f>9812.82122</f>
        <v>9812.8212199999998</v>
      </c>
      <c r="H99" s="127">
        <f t="shared" si="9"/>
        <v>299.17878000000019</v>
      </c>
      <c r="I99" s="127">
        <f>6565.47612</f>
        <v>6565.4761200000003</v>
      </c>
      <c r="J99" s="244"/>
    </row>
    <row r="100" spans="1:10" ht="14.15" customHeight="1" x14ac:dyDescent="0.35">
      <c r="A100" s="197"/>
      <c r="B100" s="182"/>
      <c r="C100" s="62" t="s">
        <v>27</v>
      </c>
      <c r="D100" s="63">
        <v>6030</v>
      </c>
      <c r="E100" s="63">
        <v>6753</v>
      </c>
      <c r="F100" s="127">
        <f>32.14572</f>
        <v>32.145719999999997</v>
      </c>
      <c r="G100" s="127">
        <f>6851.05445</f>
        <v>6851.0544499999996</v>
      </c>
      <c r="H100" s="127">
        <f t="shared" si="9"/>
        <v>-98.054449999999633</v>
      </c>
      <c r="I100" s="127">
        <f>5182.75812</f>
        <v>5182.7581200000004</v>
      </c>
      <c r="J100" s="244"/>
    </row>
    <row r="101" spans="1:10" ht="14.15" customHeight="1" x14ac:dyDescent="0.35">
      <c r="A101" s="197"/>
      <c r="B101" s="182"/>
      <c r="C101" s="56" t="s">
        <v>53</v>
      </c>
      <c r="D101" s="58">
        <v>7843</v>
      </c>
      <c r="E101" s="58">
        <v>7596</v>
      </c>
      <c r="F101" s="132">
        <f>8.25752</f>
        <v>8.2575199999999995</v>
      </c>
      <c r="G101" s="132">
        <f>5403.77865</f>
        <v>5403.7786500000002</v>
      </c>
      <c r="H101" s="132">
        <f t="shared" si="9"/>
        <v>2192.2213499999998</v>
      </c>
      <c r="I101" s="132">
        <f>7347.72326</f>
        <v>7347.7232599999998</v>
      </c>
      <c r="J101" s="244"/>
    </row>
    <row r="102" spans="1:10" ht="15.75" customHeight="1" x14ac:dyDescent="0.35">
      <c r="A102" s="1"/>
      <c r="B102" s="53"/>
      <c r="C102" s="38" t="s">
        <v>11</v>
      </c>
      <c r="D102" s="61">
        <v>3486</v>
      </c>
      <c r="E102" s="61">
        <v>3904</v>
      </c>
      <c r="F102" s="75">
        <f>48.56837</f>
        <v>48.568370000000002</v>
      </c>
      <c r="G102" s="75">
        <f>2356.93792</f>
        <v>2356.9379199999998</v>
      </c>
      <c r="H102" s="75">
        <f t="shared" si="9"/>
        <v>1547.0620800000002</v>
      </c>
      <c r="I102" s="75">
        <f>1667.77978</f>
        <v>1667.7797800000001</v>
      </c>
      <c r="J102" s="244"/>
    </row>
    <row r="103" spans="1:10" ht="15.75" customHeight="1" x14ac:dyDescent="0.35">
      <c r="A103" s="1"/>
      <c r="B103" s="53"/>
      <c r="C103" s="73" t="s">
        <v>34</v>
      </c>
      <c r="D103" s="89">
        <v>319</v>
      </c>
      <c r="E103" s="89">
        <v>319</v>
      </c>
      <c r="F103" s="98">
        <f>0.228</f>
        <v>0.22800000000000001</v>
      </c>
      <c r="G103" s="98">
        <f>36.32976</f>
        <v>36.32976</v>
      </c>
      <c r="H103" s="98">
        <f t="shared" si="9"/>
        <v>282.67023999999998</v>
      </c>
      <c r="I103" s="98">
        <f>11.36609</f>
        <v>11.36609</v>
      </c>
      <c r="J103" s="244"/>
    </row>
    <row r="104" spans="1:10" ht="18" customHeight="1" x14ac:dyDescent="0.35">
      <c r="A104" s="1"/>
      <c r="B104" s="254"/>
      <c r="C104" s="73" t="s">
        <v>54</v>
      </c>
      <c r="D104" s="143">
        <v>300</v>
      </c>
      <c r="E104" s="143">
        <v>300</v>
      </c>
      <c r="F104" s="139">
        <f>0.00508</f>
        <v>5.0800000000000003E-3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35">
      <c r="A105" s="1"/>
      <c r="B105" s="254"/>
      <c r="C105" s="93" t="s">
        <v>38</v>
      </c>
      <c r="D105" s="143">
        <v>50</v>
      </c>
      <c r="E105" s="143">
        <v>50</v>
      </c>
      <c r="F105" s="98">
        <f>1.22698</f>
        <v>1.22698</v>
      </c>
      <c r="G105" s="98">
        <f>38.69719</f>
        <v>38.697189999999999</v>
      </c>
      <c r="H105" s="139">
        <f>E105-G105</f>
        <v>11.302810000000001</v>
      </c>
      <c r="I105" s="98">
        <f>8.9026</f>
        <v>8.9025999999999996</v>
      </c>
      <c r="J105" s="244"/>
    </row>
    <row r="106" spans="1:10" ht="18" customHeight="1" x14ac:dyDescent="0.35">
      <c r="A106" s="1"/>
      <c r="B106" s="254"/>
      <c r="C106" s="93" t="s">
        <v>55</v>
      </c>
      <c r="D106" s="143"/>
      <c r="E106" s="139"/>
      <c r="F106" s="139">
        <f>0</f>
        <v>0</v>
      </c>
      <c r="G106" s="139">
        <f>30.28938</f>
        <v>30.289380000000001</v>
      </c>
      <c r="H106" s="139">
        <f t="shared" ref="H106" si="10">E106-G106</f>
        <v>-30.289380000000001</v>
      </c>
      <c r="I106" s="139">
        <f>96.61676</f>
        <v>96.616759999999999</v>
      </c>
      <c r="J106" s="244"/>
    </row>
    <row r="107" spans="1:10" ht="16.5" customHeight="1" x14ac:dyDescent="0.3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220.26197999999999</v>
      </c>
      <c r="G107" s="76">
        <f t="shared" si="12"/>
        <v>64123.205069999996</v>
      </c>
      <c r="H107" s="76">
        <f t="shared" si="12"/>
        <v>11500.79493</v>
      </c>
      <c r="I107" s="76">
        <f t="shared" si="12"/>
        <v>71314.769100000005</v>
      </c>
      <c r="J107" s="244"/>
    </row>
    <row r="108" spans="1:10" ht="13.5" customHeight="1" x14ac:dyDescent="0.35">
      <c r="A108" s="1"/>
      <c r="B108" s="254"/>
      <c r="C108" s="77" t="s">
        <v>129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3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35">
      <c r="A110" s="1"/>
      <c r="B110" s="24"/>
      <c r="C110" s="161" t="s">
        <v>130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3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3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35">
      <c r="A113" s="1"/>
      <c r="B113" s="101"/>
      <c r="C113" s="1" t="s">
        <v>113</v>
      </c>
      <c r="D113" s="228"/>
      <c r="E113" s="228"/>
      <c r="F113" s="228"/>
      <c r="G113" s="228"/>
      <c r="H113" s="228"/>
      <c r="I113" s="101"/>
      <c r="J113" s="101" t="s">
        <v>113</v>
      </c>
    </row>
    <row r="114" spans="1:10" ht="14.25" customHeight="1" x14ac:dyDescent="0.35">
      <c r="A114" s="1"/>
      <c r="B114" s="101"/>
      <c r="C114" s="101" t="s">
        <v>113</v>
      </c>
      <c r="D114" s="101" t="s">
        <v>113</v>
      </c>
      <c r="E114" s="101"/>
      <c r="F114" s="101"/>
      <c r="G114" s="101"/>
      <c r="H114" s="101"/>
      <c r="I114" s="101"/>
      <c r="J114" s="101" t="s">
        <v>113</v>
      </c>
    </row>
    <row r="115" spans="1:10" ht="17.149999999999999" customHeight="1" x14ac:dyDescent="0.3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3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5" customHeight="1" x14ac:dyDescent="0.3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3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5" customHeight="1" x14ac:dyDescent="0.3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5" customHeight="1" x14ac:dyDescent="0.3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5" customHeight="1" x14ac:dyDescent="0.3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5" customHeight="1" x14ac:dyDescent="0.3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3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35">
      <c r="A124" s="101"/>
      <c r="B124" s="24"/>
      <c r="C124" s="101" t="s">
        <v>114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3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3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5" customHeight="1" x14ac:dyDescent="0.35">
      <c r="A128" s="1"/>
      <c r="B128" s="254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886.24665000000005</v>
      </c>
      <c r="G128" s="11">
        <f t="shared" si="13"/>
        <v>48803.010909999997</v>
      </c>
      <c r="H128" s="11">
        <f t="shared" si="13"/>
        <v>23503.989089999999</v>
      </c>
      <c r="I128" s="11">
        <f t="shared" si="13"/>
        <v>54960.287089999998</v>
      </c>
      <c r="J128" s="244"/>
    </row>
    <row r="129" spans="1:10" ht="14.15" customHeight="1" x14ac:dyDescent="0.35">
      <c r="A129" s="1"/>
      <c r="B129" s="254"/>
      <c r="C129" s="44" t="s">
        <v>20</v>
      </c>
      <c r="D129" s="45">
        <v>60688</v>
      </c>
      <c r="E129" s="45">
        <v>57562</v>
      </c>
      <c r="F129" s="23">
        <f>730.01925</f>
        <v>730.01925000000006</v>
      </c>
      <c r="G129" s="23">
        <f>43135.70891</f>
        <v>43135.708910000001</v>
      </c>
      <c r="H129" s="23">
        <f>E129-G129</f>
        <v>14426.291089999999</v>
      </c>
      <c r="I129" s="23">
        <f>48396.63164</f>
        <v>48396.63164</v>
      </c>
      <c r="J129" s="244"/>
    </row>
    <row r="130" spans="1:10" ht="15" customHeight="1" x14ac:dyDescent="0.35">
      <c r="A130" s="1"/>
      <c r="B130" s="254"/>
      <c r="C130" s="44" t="s">
        <v>21</v>
      </c>
      <c r="D130" s="45">
        <v>14672</v>
      </c>
      <c r="E130" s="45">
        <v>14245</v>
      </c>
      <c r="F130" s="23">
        <f>156.2274</f>
        <v>156.22739999999999</v>
      </c>
      <c r="G130" s="23">
        <f>5601.57485</f>
        <v>5601.57485</v>
      </c>
      <c r="H130" s="23">
        <f>E130-G130</f>
        <v>8643.4251499999991</v>
      </c>
      <c r="I130" s="23">
        <f>6445.2094</f>
        <v>6445.2093999999997</v>
      </c>
      <c r="J130" s="244"/>
    </row>
    <row r="131" spans="1:10" ht="13.5" customHeight="1" x14ac:dyDescent="0.3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65.72715</f>
        <v>65.727149999999995</v>
      </c>
      <c r="H131" s="55">
        <f>E131-G131</f>
        <v>434.27285000000001</v>
      </c>
      <c r="I131" s="23">
        <f>118.44605</f>
        <v>118.44605</v>
      </c>
      <c r="J131" s="244"/>
    </row>
    <row r="132" spans="1:10" ht="14.25" customHeight="1" x14ac:dyDescent="0.35">
      <c r="A132" s="67"/>
      <c r="B132" s="78"/>
      <c r="C132" s="88" t="s">
        <v>64</v>
      </c>
      <c r="D132" s="91">
        <v>51257</v>
      </c>
      <c r="E132" s="91">
        <v>52496</v>
      </c>
      <c r="F132" s="95">
        <f>161.313</f>
        <v>161.31299999999999</v>
      </c>
      <c r="G132" s="95">
        <f>16135.0338+5289.92515</f>
        <v>21424.95895</v>
      </c>
      <c r="H132" s="95">
        <f>E132-G132</f>
        <v>31071.04105</v>
      </c>
      <c r="I132" s="95">
        <f>38763.86118</f>
        <v>38763.86118</v>
      </c>
      <c r="J132" s="116"/>
    </row>
    <row r="133" spans="1:10" ht="15.75" customHeight="1" x14ac:dyDescent="0.35">
      <c r="A133" s="1"/>
      <c r="B133" s="254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825.51396000000011</v>
      </c>
      <c r="G133" s="94">
        <f t="shared" ref="G133" si="14">G134+G139+G142</f>
        <v>58504.429010000007</v>
      </c>
      <c r="H133" s="94">
        <f>H134+H139+H142</f>
        <v>21660.57099</v>
      </c>
      <c r="I133" s="94">
        <f>I134+I139+I142</f>
        <v>67239.720369999995</v>
      </c>
      <c r="J133" s="120"/>
    </row>
    <row r="134" spans="1:10" ht="14.15" customHeight="1" x14ac:dyDescent="0.3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688.49592000000007</v>
      </c>
      <c r="G134" s="125">
        <f>G135+G136+G138+G137</f>
        <v>43788.858860000008</v>
      </c>
      <c r="H134" s="125">
        <f>H135+H136+H137+H138</f>
        <v>15290.14114</v>
      </c>
      <c r="I134" s="125">
        <f>I135+I136+I137+I138</f>
        <v>53365.814890000001</v>
      </c>
      <c r="J134" s="280"/>
    </row>
    <row r="135" spans="1:10" ht="14.15" customHeight="1" x14ac:dyDescent="0.35">
      <c r="A135" s="197"/>
      <c r="B135" s="126"/>
      <c r="C135" s="62" t="s">
        <v>24</v>
      </c>
      <c r="D135" s="63">
        <v>15960</v>
      </c>
      <c r="E135" s="63">
        <v>17774</v>
      </c>
      <c r="F135" s="127">
        <f>195.06098</f>
        <v>195.06098</v>
      </c>
      <c r="G135" s="127">
        <v>9775.6417700000002</v>
      </c>
      <c r="H135" s="127">
        <f>E135-G135</f>
        <v>7998.3582299999998</v>
      </c>
      <c r="I135" s="127">
        <f>8632.32646</f>
        <v>8632.3264600000002</v>
      </c>
      <c r="J135" s="128"/>
    </row>
    <row r="136" spans="1:10" ht="14.15" customHeight="1" x14ac:dyDescent="0.35">
      <c r="A136" s="197"/>
      <c r="B136" s="182"/>
      <c r="C136" s="62" t="s">
        <v>51</v>
      </c>
      <c r="D136" s="63">
        <v>16404</v>
      </c>
      <c r="E136" s="63">
        <v>14939</v>
      </c>
      <c r="F136" s="127">
        <f>109.72044</f>
        <v>109.72044</v>
      </c>
      <c r="G136" s="127">
        <v>12523.949855000001</v>
      </c>
      <c r="H136" s="127">
        <f>E136-G136</f>
        <v>2415.0501449999992</v>
      </c>
      <c r="I136" s="127">
        <f>13955.43276</f>
        <v>13955.43276</v>
      </c>
      <c r="J136" s="129"/>
    </row>
    <row r="137" spans="1:10" ht="14.15" customHeight="1" x14ac:dyDescent="0.35">
      <c r="A137" s="197"/>
      <c r="B137" s="182"/>
      <c r="C137" s="62" t="s">
        <v>52</v>
      </c>
      <c r="D137" s="63">
        <v>14385</v>
      </c>
      <c r="E137" s="63">
        <v>13051</v>
      </c>
      <c r="F137" s="127">
        <f>93.67615</f>
        <v>93.676150000000007</v>
      </c>
      <c r="G137" s="127">
        <v>10776.902115000001</v>
      </c>
      <c r="H137" s="127">
        <f>E137-G137</f>
        <v>2274.0978849999992</v>
      </c>
      <c r="I137" s="127">
        <f>16803.61322</f>
        <v>16803.613219999999</v>
      </c>
      <c r="J137" s="129"/>
    </row>
    <row r="138" spans="1:10" ht="14.15" customHeight="1" x14ac:dyDescent="0.35">
      <c r="A138" s="197"/>
      <c r="B138" s="182"/>
      <c r="C138" s="62" t="s">
        <v>27</v>
      </c>
      <c r="D138" s="63">
        <v>13308</v>
      </c>
      <c r="E138" s="63">
        <v>13315</v>
      </c>
      <c r="F138" s="127">
        <f>290.03835</f>
        <v>290.03834999999998</v>
      </c>
      <c r="G138" s="127">
        <v>10712.365119999999</v>
      </c>
      <c r="H138" s="127">
        <f>E138-G138</f>
        <v>2602.6348800000014</v>
      </c>
      <c r="I138" s="127">
        <f>13974.44245</f>
        <v>13974.44245</v>
      </c>
      <c r="J138" s="129"/>
    </row>
    <row r="139" spans="1:10" ht="14.15" customHeight="1" x14ac:dyDescent="0.3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6.8952</v>
      </c>
      <c r="G139" s="132">
        <f>SUM(G140:G141)</f>
        <v>8915.0016400000004</v>
      </c>
      <c r="H139" s="132">
        <f>H140+H141</f>
        <v>14.998359999999252</v>
      </c>
      <c r="I139" s="132">
        <f>SUM(I140:I141)</f>
        <v>7084.82341</v>
      </c>
      <c r="J139" s="133"/>
    </row>
    <row r="140" spans="1:10" ht="14.15" customHeight="1" x14ac:dyDescent="0.35">
      <c r="A140" s="1"/>
      <c r="B140" s="254"/>
      <c r="C140" s="62" t="s">
        <v>66</v>
      </c>
      <c r="D140" s="63">
        <v>8070</v>
      </c>
      <c r="E140" s="63">
        <v>8430</v>
      </c>
      <c r="F140" s="127">
        <f>0.729</f>
        <v>0.72899999999999998</v>
      </c>
      <c r="G140" s="127">
        <f>8475.06283</f>
        <v>8475.0628300000008</v>
      </c>
      <c r="H140" s="127">
        <f t="shared" ref="H140:H148" si="15">E140-G140</f>
        <v>-45.062830000000758</v>
      </c>
      <c r="I140" s="127">
        <f>6825.7679</f>
        <v>6825.7678999999998</v>
      </c>
      <c r="J140" s="120"/>
    </row>
    <row r="141" spans="1:10" ht="15" customHeight="1" x14ac:dyDescent="0.35">
      <c r="A141" s="1"/>
      <c r="B141" s="53"/>
      <c r="C141" s="62" t="s">
        <v>67</v>
      </c>
      <c r="D141" s="63">
        <v>500</v>
      </c>
      <c r="E141" s="63">
        <v>500</v>
      </c>
      <c r="F141" s="127">
        <f>6.1662</f>
        <v>6.1661999999999999</v>
      </c>
      <c r="G141" s="127">
        <f>439.93881</f>
        <v>439.93880999999999</v>
      </c>
      <c r="H141" s="127">
        <f t="shared" si="15"/>
        <v>60.061190000000011</v>
      </c>
      <c r="I141" s="127">
        <f>259.05551</f>
        <v>259.05551000000003</v>
      </c>
      <c r="J141" s="134"/>
    </row>
    <row r="142" spans="1:10" ht="15.75" customHeight="1" x14ac:dyDescent="0.35">
      <c r="A142" s="1"/>
      <c r="B142" s="254"/>
      <c r="C142" s="38" t="s">
        <v>11</v>
      </c>
      <c r="D142" s="61">
        <v>10907</v>
      </c>
      <c r="E142" s="61">
        <v>12156</v>
      </c>
      <c r="F142" s="75">
        <f>130.12284</f>
        <v>130.12284</v>
      </c>
      <c r="G142" s="75">
        <f>5800.56851</f>
        <v>5800.5685100000001</v>
      </c>
      <c r="H142" s="75">
        <f t="shared" si="15"/>
        <v>6355.4314899999999</v>
      </c>
      <c r="I142" s="75">
        <f>6789.08207</f>
        <v>6789.0820700000004</v>
      </c>
      <c r="J142" s="120"/>
    </row>
    <row r="143" spans="1:10" ht="15.75" customHeight="1" x14ac:dyDescent="0.35">
      <c r="A143" s="1"/>
      <c r="B143" s="254"/>
      <c r="C143" s="142" t="s">
        <v>34</v>
      </c>
      <c r="D143" s="143">
        <v>146</v>
      </c>
      <c r="E143" s="143">
        <v>146</v>
      </c>
      <c r="F143" s="139">
        <f>0.44455</f>
        <v>0.44455</v>
      </c>
      <c r="G143" s="139">
        <f>16.1571</f>
        <v>16.1571</v>
      </c>
      <c r="H143" s="139">
        <f t="shared" si="15"/>
        <v>129.84289999999999</v>
      </c>
      <c r="I143" s="139">
        <f>31.69565</f>
        <v>31.695650000000001</v>
      </c>
      <c r="J143" s="120"/>
    </row>
    <row r="144" spans="1:10" ht="15.75" customHeight="1" x14ac:dyDescent="0.3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35">
      <c r="A145" s="1"/>
      <c r="B145" s="254"/>
      <c r="C145" s="140" t="s">
        <v>69</v>
      </c>
      <c r="D145" s="143">
        <v>2000</v>
      </c>
      <c r="E145" s="143">
        <v>2000</v>
      </c>
      <c r="F145" s="139">
        <f>3.70171</f>
        <v>3.7017099999999998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3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35">
      <c r="A147" s="1"/>
      <c r="B147" s="254"/>
      <c r="C147" s="142" t="s">
        <v>70</v>
      </c>
      <c r="D147" s="143">
        <v>276</v>
      </c>
      <c r="E147" s="143">
        <v>276</v>
      </c>
      <c r="F147" s="98">
        <f>2.95965</f>
        <v>2.9596499999999999</v>
      </c>
      <c r="G147" s="98">
        <f>52.77681</f>
        <v>52.776809999999998</v>
      </c>
      <c r="H147" s="139">
        <f t="shared" si="15"/>
        <v>223.22318999999999</v>
      </c>
      <c r="I147" s="98">
        <f>27.67143</f>
        <v>27.671430000000001</v>
      </c>
      <c r="J147" s="120"/>
    </row>
    <row r="148" spans="1:10" ht="15" customHeight="1" x14ac:dyDescent="0.35">
      <c r="A148" s="1"/>
      <c r="B148" s="254"/>
      <c r="C148" s="142" t="s">
        <v>39</v>
      </c>
      <c r="D148" s="145"/>
      <c r="E148" s="143"/>
      <c r="F148" s="139">
        <f>0</f>
        <v>0</v>
      </c>
      <c r="G148" s="139">
        <f>120.12594</f>
        <v>120.12594</v>
      </c>
      <c r="H148" s="139">
        <f t="shared" si="15"/>
        <v>-120.12594</v>
      </c>
      <c r="I148" s="139">
        <f>111.04893</f>
        <v>111.04893</v>
      </c>
      <c r="J148" s="120"/>
    </row>
    <row r="149" spans="1:10" ht="0" hidden="1" customHeight="1" x14ac:dyDescent="0.3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3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1880.1795200000004</v>
      </c>
      <c r="G150" s="76">
        <f>G128+G132+G133+G143+G144+G145+G146+G147+G148</f>
        <v>131177.49471999999</v>
      </c>
      <c r="H150" s="76">
        <f>H128+H132+H133+H143+H144+H145+H146+H147+H148</f>
        <v>76462.505280000012</v>
      </c>
      <c r="I150" s="76">
        <f>I128+I132+I133+I143+I144+I145+I146+I147+I148</f>
        <v>163396.86564999999</v>
      </c>
      <c r="J150" s="160"/>
    </row>
    <row r="151" spans="1:10" ht="14.25" customHeight="1" x14ac:dyDescent="0.3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35">
      <c r="A152" s="156"/>
      <c r="B152" s="52"/>
      <c r="C152" s="101" t="s">
        <v>131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3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3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3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35">
      <c r="A156" s="156"/>
      <c r="B156" s="52"/>
      <c r="C156" s="77" t="s">
        <v>132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3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3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35">
      <c r="A162" s="1" t="s">
        <v>113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113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5" customHeight="1" x14ac:dyDescent="0.35">
      <c r="A165" s="1" t="s">
        <v>113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5" customHeight="1" x14ac:dyDescent="0.3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5" customHeight="1" x14ac:dyDescent="0.3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5" customHeight="1" x14ac:dyDescent="0.3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5" customHeight="1" x14ac:dyDescent="0.3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5" customHeight="1" x14ac:dyDescent="0.3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3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3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3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3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5" customHeight="1" x14ac:dyDescent="0.35">
      <c r="A175" s="1"/>
      <c r="B175" s="254"/>
      <c r="C175" s="141" t="s">
        <v>75</v>
      </c>
      <c r="D175" s="94">
        <v>4223</v>
      </c>
      <c r="E175" s="276">
        <f>41.13393</f>
        <v>41.133929999999999</v>
      </c>
      <c r="F175" s="276">
        <f>1063.84959</f>
        <v>1063.84959</v>
      </c>
      <c r="G175" s="43">
        <f>D175-F175-F176</f>
        <v>1658.6918100000003</v>
      </c>
      <c r="H175" s="276">
        <f>1531.41574</f>
        <v>1531.4157399999999</v>
      </c>
      <c r="I175" s="1"/>
      <c r="J175" s="120"/>
    </row>
    <row r="176" spans="1:10" ht="14.15" customHeight="1" x14ac:dyDescent="0.35">
      <c r="A176" s="1"/>
      <c r="B176" s="254"/>
      <c r="C176" s="137" t="s">
        <v>53</v>
      </c>
      <c r="D176" s="181"/>
      <c r="E176" s="152">
        <f>59.71546</f>
        <v>59.71546</v>
      </c>
      <c r="F176" s="152">
        <f>1500.4586</f>
        <v>1500.4585999999999</v>
      </c>
      <c r="G176" s="217"/>
      <c r="H176" s="152">
        <f>1737.83386</f>
        <v>1737.83386</v>
      </c>
      <c r="I176" s="1"/>
      <c r="J176" s="120"/>
    </row>
    <row r="177" spans="1:10" ht="15.65" customHeight="1" x14ac:dyDescent="0.35">
      <c r="A177" s="1"/>
      <c r="B177" s="254"/>
      <c r="C177" s="169" t="s">
        <v>76</v>
      </c>
      <c r="D177" s="98">
        <v>200</v>
      </c>
      <c r="E177" s="172">
        <f>0</f>
        <v>0</v>
      </c>
      <c r="F177" s="172">
        <f>113.20957</f>
        <v>113.20957</v>
      </c>
      <c r="G177" s="172">
        <f>D177-F177</f>
        <v>86.790430000000001</v>
      </c>
      <c r="H177" s="172">
        <f>74.78746</f>
        <v>74.787459999999996</v>
      </c>
      <c r="I177" s="1"/>
      <c r="J177" s="120"/>
    </row>
    <row r="178" spans="1:10" ht="14.15" customHeight="1" x14ac:dyDescent="0.35">
      <c r="A178" s="67"/>
      <c r="B178" s="78"/>
      <c r="C178" s="180" t="s">
        <v>77</v>
      </c>
      <c r="D178" s="181">
        <v>6334</v>
      </c>
      <c r="E178" s="181">
        <f>E179+E180+E181</f>
        <v>9.77529</v>
      </c>
      <c r="F178" s="181">
        <f>F179+F180+F181</f>
        <v>5950.2751200000002</v>
      </c>
      <c r="G178" s="181">
        <f>D178-F178</f>
        <v>383.72487999999976</v>
      </c>
      <c r="H178" s="181">
        <f>H179+H180+H181</f>
        <v>8060.7777400000004</v>
      </c>
      <c r="I178" s="67"/>
      <c r="J178" s="116"/>
    </row>
    <row r="179" spans="1:10" ht="14.15" customHeight="1" x14ac:dyDescent="0.35">
      <c r="A179" s="197"/>
      <c r="B179" s="182"/>
      <c r="C179" s="183" t="s">
        <v>78</v>
      </c>
      <c r="D179" s="127"/>
      <c r="E179" s="127">
        <f>0.35842</f>
        <v>0.35842000000000002</v>
      </c>
      <c r="F179" s="127">
        <f>3088.27008</f>
        <v>3088.2700799999998</v>
      </c>
      <c r="G179" s="127"/>
      <c r="H179" s="127">
        <f>4167.15063</f>
        <v>4167.1506300000001</v>
      </c>
      <c r="I179" s="186"/>
      <c r="J179" s="129"/>
    </row>
    <row r="180" spans="1:10" ht="14.15" customHeight="1" x14ac:dyDescent="0.35">
      <c r="A180" s="197"/>
      <c r="B180" s="182"/>
      <c r="C180" s="183" t="s">
        <v>79</v>
      </c>
      <c r="D180" s="127"/>
      <c r="E180" s="127">
        <f>6.45693</f>
        <v>6.4569299999999998</v>
      </c>
      <c r="F180" s="127">
        <f>1811.71409</f>
        <v>1811.7140899999999</v>
      </c>
      <c r="G180" s="127"/>
      <c r="H180" s="127">
        <f>2477.23149</f>
        <v>2477.2314900000001</v>
      </c>
      <c r="I180" s="186"/>
      <c r="J180" s="187"/>
    </row>
    <row r="181" spans="1:10" ht="14.15" customHeight="1" x14ac:dyDescent="0.35">
      <c r="A181" s="197"/>
      <c r="B181" s="182"/>
      <c r="C181" s="188" t="s">
        <v>80</v>
      </c>
      <c r="D181" s="192"/>
      <c r="E181" s="192">
        <f>2.95994</f>
        <v>2.95994</v>
      </c>
      <c r="F181" s="192">
        <f>1050.29095</f>
        <v>1050.2909500000001</v>
      </c>
      <c r="G181" s="192"/>
      <c r="H181" s="192">
        <f>1416.39562</f>
        <v>1416.39562</v>
      </c>
      <c r="I181" s="186"/>
      <c r="J181" s="187"/>
    </row>
    <row r="182" spans="1:10" ht="14.15" customHeight="1" x14ac:dyDescent="0.3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4"/>
    </row>
    <row r="183" spans="1:10" ht="16.5" customHeight="1" x14ac:dyDescent="0.3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99999999999999" customHeight="1" x14ac:dyDescent="0.3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110.62468</v>
      </c>
      <c r="F184" s="194">
        <f>F175+F176+F177+F178+F182+F183</f>
        <v>8627.7928800000009</v>
      </c>
      <c r="G184" s="194">
        <f>D184-F184</f>
        <v>2195.2071199999991</v>
      </c>
      <c r="H184" s="194">
        <f>H175+H176+H177+H178+H182+H183</f>
        <v>11404.8148</v>
      </c>
      <c r="I184" s="163"/>
      <c r="J184" s="160"/>
    </row>
    <row r="185" spans="1:10" ht="42" customHeight="1" x14ac:dyDescent="0.35">
      <c r="A185" s="1"/>
      <c r="B185" s="198"/>
      <c r="C185" s="227" t="s">
        <v>137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35">
      <c r="A186" s="156" t="s">
        <v>113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3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35">
      <c r="A188" s="150" t="s">
        <v>113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5">
      <c r="A190" s="150" t="s">
        <v>113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3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3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3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3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3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35">
      <c r="A197" s="1"/>
      <c r="B197" s="254"/>
      <c r="C197" s="101" t="s">
        <v>119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35">
      <c r="A198" s="1"/>
      <c r="B198" s="254"/>
      <c r="C198" s="101" t="s">
        <v>120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54"/>
      <c r="C199" s="101" t="s">
        <v>123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3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3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3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3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35">
      <c r="A204" s="1"/>
      <c r="B204" s="254"/>
      <c r="C204" s="90" t="s">
        <v>4</v>
      </c>
      <c r="D204" s="124">
        <v>46282</v>
      </c>
      <c r="E204" s="124">
        <f>397.67212</f>
        <v>397.67212000000001</v>
      </c>
      <c r="F204" s="124">
        <f>40830.52367</f>
        <v>40830.523670000002</v>
      </c>
      <c r="G204" s="124">
        <f>D204-F204</f>
        <v>5451.4763299999977</v>
      </c>
      <c r="H204" s="124">
        <f>40510.57871</f>
        <v>40510.578710000002</v>
      </c>
      <c r="I204" s="248"/>
      <c r="J204" s="120"/>
    </row>
    <row r="205" spans="1:10" ht="15" customHeight="1" x14ac:dyDescent="0.35">
      <c r="A205" s="1"/>
      <c r="B205" s="254"/>
      <c r="C205" s="90" t="s">
        <v>67</v>
      </c>
      <c r="D205" s="124">
        <v>100</v>
      </c>
      <c r="E205" s="124">
        <f>0.1345</f>
        <v>0.13450000000000001</v>
      </c>
      <c r="F205" s="124">
        <f>39.87532</f>
        <v>39.875320000000002</v>
      </c>
      <c r="G205" s="124">
        <f>D205-F205</f>
        <v>60.124679999999998</v>
      </c>
      <c r="H205" s="124">
        <f>65.19523</f>
        <v>65.195229999999995</v>
      </c>
      <c r="I205" s="248"/>
      <c r="J205" s="120"/>
    </row>
    <row r="206" spans="1:10" ht="15.75" customHeight="1" x14ac:dyDescent="0.3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35">
      <c r="A207" s="1"/>
      <c r="B207" s="254"/>
      <c r="C207" s="179" t="s">
        <v>87</v>
      </c>
      <c r="D207" s="190">
        <f>SUM(D204:D206)</f>
        <v>46418</v>
      </c>
      <c r="E207" s="190">
        <f>SUM(E204:E206)</f>
        <v>397.80662000000001</v>
      </c>
      <c r="F207" s="190">
        <f>SUM(F204:F206)</f>
        <v>40870.398990000002</v>
      </c>
      <c r="G207" s="190">
        <f>D207-F207</f>
        <v>5547.6010099999985</v>
      </c>
      <c r="H207" s="190">
        <f>SUM(H204:H206)</f>
        <v>40575.773939999999</v>
      </c>
      <c r="I207" s="248"/>
      <c r="J207" s="120"/>
    </row>
    <row r="208" spans="1:10" ht="17.149999999999999" customHeight="1" x14ac:dyDescent="0.3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113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5">
      <c r="A243" s="150"/>
      <c r="B243" s="1"/>
      <c r="C243" s="215" t="s">
        <v>115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5">
      <c r="A244" s="150" t="s">
        <v>113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3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3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3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3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35">
      <c r="A249" s="1"/>
      <c r="B249" s="254"/>
      <c r="C249" s="90" t="s">
        <v>121</v>
      </c>
      <c r="D249" s="124">
        <v>3987</v>
      </c>
      <c r="E249" s="75">
        <f>E250+E251</f>
        <v>33.2179</v>
      </c>
      <c r="F249" s="75">
        <f>F250+F251</f>
        <v>4192.3658699999996</v>
      </c>
      <c r="G249" s="75">
        <f>D249-F249</f>
        <v>-205.36586999999963</v>
      </c>
      <c r="H249" s="75">
        <f>H250+H251</f>
        <v>4118.6824900000001</v>
      </c>
      <c r="I249" s="248"/>
      <c r="J249" s="120"/>
    </row>
    <row r="250" spans="1:10" ht="15" customHeight="1" x14ac:dyDescent="0.35">
      <c r="A250" s="1"/>
      <c r="B250" s="254"/>
      <c r="C250" s="177" t="s">
        <v>8</v>
      </c>
      <c r="D250" s="124"/>
      <c r="E250" s="75">
        <f>26.3286</f>
        <v>26.328600000000002</v>
      </c>
      <c r="F250" s="75">
        <f>3632.09031</f>
        <v>3632.09031</v>
      </c>
      <c r="G250" s="75"/>
      <c r="H250" s="75">
        <f>3518.13714</f>
        <v>3518.1371399999998</v>
      </c>
      <c r="I250" s="248"/>
      <c r="J250" s="120"/>
    </row>
    <row r="251" spans="1:10" ht="15" customHeight="1" x14ac:dyDescent="0.35">
      <c r="A251" s="1"/>
      <c r="B251" s="254"/>
      <c r="C251" s="177" t="s">
        <v>67</v>
      </c>
      <c r="D251" s="124"/>
      <c r="E251" s="124">
        <f>6.8893</f>
        <v>6.8893000000000004</v>
      </c>
      <c r="F251" s="124">
        <f>560.27556</f>
        <v>560.27556000000004</v>
      </c>
      <c r="G251" s="168"/>
      <c r="H251" s="124">
        <f>600.54535</f>
        <v>600.54534999999998</v>
      </c>
      <c r="I251" s="248"/>
      <c r="J251" s="120"/>
    </row>
    <row r="252" spans="1:10" ht="15" customHeight="1" x14ac:dyDescent="0.35">
      <c r="A252" s="1"/>
      <c r="B252" s="254"/>
      <c r="C252" s="90" t="s">
        <v>122</v>
      </c>
      <c r="D252" s="124">
        <v>4613</v>
      </c>
      <c r="E252" s="75">
        <f>40.74808</f>
        <v>40.748080000000002</v>
      </c>
      <c r="F252" s="75">
        <f>5257.13599</f>
        <v>5257.1359899999998</v>
      </c>
      <c r="G252" s="75">
        <f>D252-F252</f>
        <v>-644.13598999999977</v>
      </c>
      <c r="H252" s="75">
        <f>5113.64961</f>
        <v>5113.6496100000004</v>
      </c>
      <c r="I252" s="248"/>
      <c r="J252" s="120"/>
    </row>
    <row r="253" spans="1:10" ht="16.5" customHeight="1" x14ac:dyDescent="0.35">
      <c r="A253" s="1"/>
      <c r="B253" s="254"/>
      <c r="C253" s="179" t="s">
        <v>87</v>
      </c>
      <c r="D253" s="190">
        <f>D252+D249</f>
        <v>8600</v>
      </c>
      <c r="E253" s="190">
        <f>SUM(E249,E252)</f>
        <v>73.965980000000002</v>
      </c>
      <c r="F253" s="190">
        <f>SUM(F249,F252)</f>
        <v>9449.5018600000003</v>
      </c>
      <c r="G253" s="190">
        <f>D253-F253</f>
        <v>-849.50186000000031</v>
      </c>
      <c r="H253" s="190">
        <f>SUM(H249,H252)</f>
        <v>9232.3320999999996</v>
      </c>
      <c r="I253" s="248"/>
      <c r="J253" s="120"/>
    </row>
    <row r="254" spans="1:10" ht="17.149999999999999" customHeight="1" x14ac:dyDescent="0.3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49999999999999" customHeight="1" x14ac:dyDescent="0.35">
      <c r="A288" s="1" t="s">
        <v>113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5">
      <c r="A289" s="150"/>
      <c r="B289" s="1"/>
      <c r="C289" s="215" t="s">
        <v>116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5">
      <c r="A290" s="150" t="s">
        <v>113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3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3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3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3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35">
      <c r="A295" s="1"/>
      <c r="B295" s="254"/>
      <c r="C295" s="90" t="s">
        <v>121</v>
      </c>
      <c r="D295" s="124">
        <v>5090</v>
      </c>
      <c r="E295" s="75">
        <f>E296+E297</f>
        <v>28.509999999999998</v>
      </c>
      <c r="F295" s="75">
        <f>F296+F297</f>
        <v>5295.9</v>
      </c>
      <c r="G295" s="75">
        <f>D295-F295</f>
        <v>-205.89999999999964</v>
      </c>
      <c r="H295" s="75">
        <f>H296+H297</f>
        <v>5941.8215700000001</v>
      </c>
      <c r="I295" s="248"/>
      <c r="J295" s="120"/>
    </row>
    <row r="296" spans="1:10" ht="15" customHeight="1" x14ac:dyDescent="0.35">
      <c r="A296" s="1"/>
      <c r="B296" s="254"/>
      <c r="C296" s="177" t="s">
        <v>8</v>
      </c>
      <c r="D296" s="124"/>
      <c r="E296" s="75">
        <f>26.3772</f>
        <v>26.377199999999998</v>
      </c>
      <c r="F296" s="75">
        <f>4829.74321</f>
        <v>4829.7432099999996</v>
      </c>
      <c r="G296" s="75"/>
      <c r="H296" s="75">
        <f>5445.55621</f>
        <v>5445.5562099999997</v>
      </c>
      <c r="I296" s="248"/>
      <c r="J296" s="120"/>
    </row>
    <row r="297" spans="1:10" ht="15" customHeight="1" x14ac:dyDescent="0.35">
      <c r="A297" s="1"/>
      <c r="B297" s="254"/>
      <c r="C297" s="177" t="s">
        <v>67</v>
      </c>
      <c r="D297" s="124"/>
      <c r="E297" s="124">
        <f>2.1328</f>
        <v>2.1328</v>
      </c>
      <c r="F297" s="124">
        <f>466.15679</f>
        <v>466.15679</v>
      </c>
      <c r="G297" s="168"/>
      <c r="H297" s="124">
        <f>496.26536</f>
        <v>496.26535999999999</v>
      </c>
      <c r="I297" s="248"/>
      <c r="J297" s="120"/>
    </row>
    <row r="298" spans="1:10" ht="15" customHeight="1" x14ac:dyDescent="0.35">
      <c r="A298" s="1"/>
      <c r="B298" s="254"/>
      <c r="C298" s="90" t="s">
        <v>122</v>
      </c>
      <c r="D298" s="124">
        <v>2981</v>
      </c>
      <c r="E298" s="75">
        <f>53.652</f>
        <v>53.652000000000001</v>
      </c>
      <c r="F298" s="75">
        <f>2644.18941</f>
        <v>2644.18941</v>
      </c>
      <c r="G298" s="75">
        <f>D298-F298</f>
        <v>336.81059000000005</v>
      </c>
      <c r="H298" s="75">
        <f>3270.87852</f>
        <v>3270.8785200000002</v>
      </c>
      <c r="I298" s="248"/>
      <c r="J298" s="120"/>
    </row>
    <row r="299" spans="1:10" ht="16.5" customHeight="1" x14ac:dyDescent="0.35">
      <c r="A299" s="1"/>
      <c r="B299" s="254"/>
      <c r="C299" s="179" t="s">
        <v>87</v>
      </c>
      <c r="D299" s="190">
        <f>D298+D295</f>
        <v>8071</v>
      </c>
      <c r="E299" s="190">
        <f>SUM(E295,E298)</f>
        <v>82.162000000000006</v>
      </c>
      <c r="F299" s="190">
        <f>SUM(F295,F298)</f>
        <v>7940.0894099999996</v>
      </c>
      <c r="G299" s="190">
        <f>D299-F299</f>
        <v>130.91059000000041</v>
      </c>
      <c r="H299" s="190">
        <f>SUM(H295,H298)</f>
        <v>9212.7000900000003</v>
      </c>
      <c r="I299" s="248"/>
      <c r="J299" s="120"/>
    </row>
    <row r="300" spans="1:10" ht="17.149999999999999" customHeight="1" x14ac:dyDescent="0.3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35">
      <c r="A334" s="1" t="s">
        <v>113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3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35">
      <c r="A336" s="218" t="s">
        <v>113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5" customHeight="1" x14ac:dyDescent="0.3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5" customHeight="1" x14ac:dyDescent="0.3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5" customHeight="1" x14ac:dyDescent="0.3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5" customHeight="1" x14ac:dyDescent="0.3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5" customHeight="1" x14ac:dyDescent="0.3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35">
      <c r="A342" s="1"/>
      <c r="B342" s="254"/>
      <c r="C342" s="248" t="s">
        <v>124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3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5" customHeight="1" x14ac:dyDescent="0.3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3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3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3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5" customHeight="1" x14ac:dyDescent="0.3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3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5" customHeight="1" x14ac:dyDescent="0.35">
      <c r="A350" s="67"/>
      <c r="B350" s="78"/>
      <c r="C350" s="90" t="s">
        <v>93</v>
      </c>
      <c r="D350" s="124">
        <v>800</v>
      </c>
      <c r="E350" s="124">
        <f>4.86944</f>
        <v>4.86944</v>
      </c>
      <c r="F350" s="124">
        <f>576.82232</f>
        <v>576.82231999999999</v>
      </c>
      <c r="G350" s="124">
        <f>D350-F350</f>
        <v>223.17768000000001</v>
      </c>
      <c r="H350" s="124">
        <f>534.03153</f>
        <v>534.03152999999998</v>
      </c>
      <c r="I350" s="67"/>
      <c r="J350" s="244"/>
    </row>
    <row r="351" spans="1:10" ht="14.15" customHeight="1" x14ac:dyDescent="0.35">
      <c r="A351" s="1"/>
      <c r="B351" s="254"/>
      <c r="C351" s="90" t="s">
        <v>94</v>
      </c>
      <c r="D351" s="246">
        <v>3041</v>
      </c>
      <c r="E351" s="124">
        <f>8.51948</f>
        <v>8.5194799999999997</v>
      </c>
      <c r="F351" s="124">
        <f>2189.49532</f>
        <v>2189.49532</v>
      </c>
      <c r="G351" s="124">
        <f>D351-F351</f>
        <v>851.50468000000001</v>
      </c>
      <c r="H351" s="124">
        <f>2521.55611</f>
        <v>2521.55611</v>
      </c>
      <c r="I351" s="178"/>
      <c r="J351" s="116"/>
    </row>
    <row r="352" spans="1:10" ht="16.5" customHeight="1" x14ac:dyDescent="0.3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3.60962</f>
        <v>3.6096200000000001</v>
      </c>
      <c r="G352" s="124">
        <f>D352-F352</f>
        <v>6.3903800000000004</v>
      </c>
      <c r="H352" s="168">
        <f>2.73874</f>
        <v>2.73874</v>
      </c>
      <c r="I352" s="67"/>
      <c r="J352" s="249"/>
    </row>
    <row r="353" spans="1:10" ht="18.75" customHeight="1" x14ac:dyDescent="0.35">
      <c r="A353" s="67"/>
      <c r="B353" s="250"/>
      <c r="C353" s="146" t="s">
        <v>95</v>
      </c>
      <c r="D353" s="222"/>
      <c r="E353" s="168">
        <f>0</f>
        <v>0</v>
      </c>
      <c r="F353" s="168">
        <f>0.248</f>
        <v>0.248</v>
      </c>
      <c r="G353" s="124">
        <f>D353-F353</f>
        <v>-0.248</v>
      </c>
      <c r="H353" s="168">
        <f>1.70854</f>
        <v>1.7085399999999999</v>
      </c>
      <c r="I353" s="284"/>
      <c r="J353" s="120"/>
    </row>
    <row r="354" spans="1:10" ht="14.15" customHeight="1" x14ac:dyDescent="0.35">
      <c r="A354" s="1"/>
      <c r="B354" s="254"/>
      <c r="C354" s="179" t="s">
        <v>87</v>
      </c>
      <c r="D354" s="6">
        <f>D339</f>
        <v>3851</v>
      </c>
      <c r="E354" s="190">
        <f>SUM(E350:E353)</f>
        <v>13.388919999999999</v>
      </c>
      <c r="F354" s="190">
        <f>SUM(F350:F353)</f>
        <v>2770.1752600000004</v>
      </c>
      <c r="G354" s="190">
        <f>D354-F354</f>
        <v>1080.8247399999996</v>
      </c>
      <c r="H354" s="190">
        <f>H350+H351+H352+H353</f>
        <v>3060.0349199999996</v>
      </c>
      <c r="I354" s="1"/>
      <c r="J354" s="120"/>
    </row>
    <row r="355" spans="1:10" ht="14.15" customHeight="1" x14ac:dyDescent="0.3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5" customHeight="1" x14ac:dyDescent="0.3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5" customHeight="1" x14ac:dyDescent="0.35">
      <c r="A357" s="1"/>
      <c r="C357" s="150" t="s">
        <v>113</v>
      </c>
    </row>
    <row r="358" spans="1:10" ht="14.15" customHeight="1" x14ac:dyDescent="0.35">
      <c r="A358" s="1" t="s">
        <v>113</v>
      </c>
    </row>
    <row r="359" spans="1:10" ht="14.15" customHeight="1" x14ac:dyDescent="0.35">
      <c r="A359" s="1" t="s">
        <v>113</v>
      </c>
    </row>
    <row r="360" spans="1:10" ht="14.15" customHeight="1" x14ac:dyDescent="0.35">
      <c r="A360" s="1"/>
      <c r="C360" s="150" t="s">
        <v>113</v>
      </c>
    </row>
    <row r="361" spans="1:10" x14ac:dyDescent="0.35">
      <c r="A361" s="1"/>
      <c r="C361" s="150" t="s">
        <v>113</v>
      </c>
    </row>
    <row r="362" spans="1:10" ht="14.15" customHeight="1" x14ac:dyDescent="0.35">
      <c r="A362" s="1"/>
      <c r="C362" s="150" t="s">
        <v>113</v>
      </c>
    </row>
    <row r="363" spans="1:10" ht="14.15" customHeight="1" x14ac:dyDescent="0.35">
      <c r="A363" s="1"/>
      <c r="C363" s="150" t="s">
        <v>113</v>
      </c>
    </row>
    <row r="364" spans="1:10" ht="30" customHeight="1" x14ac:dyDescent="0.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49999999999999" customHeight="1" x14ac:dyDescent="0.3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3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3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3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3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3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5" customHeight="1" x14ac:dyDescent="0.3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5" customHeight="1" x14ac:dyDescent="0.3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4" customHeight="1" x14ac:dyDescent="0.35">
      <c r="B373" s="72"/>
      <c r="C373" s="211" t="s">
        <v>133</v>
      </c>
      <c r="D373" s="178"/>
      <c r="E373" s="178"/>
      <c r="F373" s="178"/>
      <c r="G373" s="1"/>
      <c r="H373" s="178"/>
      <c r="I373" s="178"/>
      <c r="J373" s="244"/>
    </row>
    <row r="374" spans="1:10" ht="13.4" customHeight="1" x14ac:dyDescent="0.35">
      <c r="B374" s="72"/>
      <c r="C374" s="212" t="s">
        <v>134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3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3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3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3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35">
      <c r="B379" s="72"/>
      <c r="C379" s="223" t="s">
        <v>16</v>
      </c>
      <c r="D379" s="232" t="s">
        <v>17</v>
      </c>
      <c r="E379" s="68" t="s">
        <v>140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5" customHeight="1" x14ac:dyDescent="0.3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170.08948000000001</v>
      </c>
      <c r="G380" s="253">
        <f t="shared" si="17"/>
        <v>17907.55502</v>
      </c>
      <c r="H380" s="253">
        <f>H384+H383+H382+H381</f>
        <v>5061.4449800000002</v>
      </c>
      <c r="I380" s="253">
        <f t="shared" si="17"/>
        <v>15971.07035</v>
      </c>
      <c r="J380" s="130"/>
    </row>
    <row r="381" spans="1:10" ht="14.15" customHeight="1" x14ac:dyDescent="0.35">
      <c r="A381" s="218"/>
      <c r="B381" s="72"/>
      <c r="C381" s="255" t="s">
        <v>103</v>
      </c>
      <c r="D381" s="256">
        <v>12051</v>
      </c>
      <c r="E381" s="256">
        <v>13190</v>
      </c>
      <c r="F381" s="257">
        <f>0</f>
        <v>0</v>
      </c>
      <c r="G381" s="257">
        <f>11662.01717</f>
        <v>11662.017169999999</v>
      </c>
      <c r="H381" s="257">
        <f t="shared" ref="H381:H385" si="18">E381-G381</f>
        <v>1527.9828300000008</v>
      </c>
      <c r="I381" s="257">
        <f>9908.37411</f>
        <v>9908.3741100000007</v>
      </c>
      <c r="J381" s="130"/>
    </row>
    <row r="382" spans="1:10" ht="14.15" customHeight="1" x14ac:dyDescent="0.35">
      <c r="A382" s="218"/>
      <c r="B382" s="72"/>
      <c r="C382" s="260" t="s">
        <v>21</v>
      </c>
      <c r="D382" s="256">
        <v>3136</v>
      </c>
      <c r="E382" s="256">
        <v>3433</v>
      </c>
      <c r="F382" s="257">
        <f>101.385</f>
        <v>101.38500000000001</v>
      </c>
      <c r="G382" s="257">
        <f>1969.57002</f>
        <v>1969.5700200000001</v>
      </c>
      <c r="H382" s="257">
        <f t="shared" si="18"/>
        <v>1463.4299799999999</v>
      </c>
      <c r="I382" s="257">
        <f>1294.37055</f>
        <v>1294.3705500000001</v>
      </c>
      <c r="J382" s="130"/>
    </row>
    <row r="383" spans="1:10" ht="14.15" customHeight="1" x14ac:dyDescent="0.35">
      <c r="A383" s="218"/>
      <c r="B383" s="72"/>
      <c r="C383" s="260" t="s">
        <v>100</v>
      </c>
      <c r="D383" s="256">
        <v>1454</v>
      </c>
      <c r="E383" s="256">
        <v>1483</v>
      </c>
      <c r="F383" s="257">
        <f>21.27408</f>
        <v>21.274080000000001</v>
      </c>
      <c r="G383" s="257">
        <f>1841.65737</f>
        <v>1841.6573699999999</v>
      </c>
      <c r="H383" s="257">
        <f t="shared" si="18"/>
        <v>-358.6573699999999</v>
      </c>
      <c r="I383" s="257">
        <f>1802.75739</f>
        <v>1802.75739</v>
      </c>
      <c r="J383" s="130"/>
    </row>
    <row r="384" spans="1:10" ht="14.15" customHeight="1" x14ac:dyDescent="0.35">
      <c r="A384" s="218"/>
      <c r="B384" s="72"/>
      <c r="C384" s="262" t="s">
        <v>141</v>
      </c>
      <c r="D384" s="263">
        <v>4867</v>
      </c>
      <c r="E384" s="263">
        <v>4863</v>
      </c>
      <c r="F384" s="257">
        <f>47.4304</f>
        <v>47.430399999999999</v>
      </c>
      <c r="G384" s="257">
        <f>2434.31046</f>
        <v>2434.3104600000001</v>
      </c>
      <c r="H384" s="257">
        <f t="shared" si="18"/>
        <v>2428.6895399999999</v>
      </c>
      <c r="I384" s="257">
        <f>2965.5683</f>
        <v>2965.5682999999999</v>
      </c>
      <c r="J384" s="130"/>
    </row>
    <row r="385" spans="1:10" ht="14.15" customHeight="1" x14ac:dyDescent="0.35">
      <c r="A385" s="218"/>
      <c r="B385" s="72"/>
      <c r="C385" s="265" t="s">
        <v>59</v>
      </c>
      <c r="D385" s="266">
        <v>5500</v>
      </c>
      <c r="E385" s="266">
        <v>5500</v>
      </c>
      <c r="F385" s="268">
        <f>2.786</f>
        <v>2.786</v>
      </c>
      <c r="G385" s="268">
        <f>2161.16778</f>
        <v>2161.1677800000002</v>
      </c>
      <c r="H385" s="268">
        <f t="shared" si="18"/>
        <v>3338.8322199999998</v>
      </c>
      <c r="I385" s="268">
        <f>5110.62328</f>
        <v>5110.6232799999998</v>
      </c>
      <c r="J385" s="130"/>
    </row>
    <row r="386" spans="1:10" ht="14.15" customHeight="1" x14ac:dyDescent="0.3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72.840410000000006</v>
      </c>
      <c r="G386" s="269">
        <f>G388+G387</f>
        <v>3447.6529799999998</v>
      </c>
      <c r="H386" s="269">
        <f>E386-G386</f>
        <v>4552.3470200000002</v>
      </c>
      <c r="I386" s="269">
        <f>I388+I387</f>
        <v>3846.2038900000002</v>
      </c>
      <c r="J386" s="130"/>
    </row>
    <row r="387" spans="1:10" ht="14.15" customHeight="1" x14ac:dyDescent="0.35">
      <c r="A387" s="218"/>
      <c r="B387" s="72"/>
      <c r="C387" s="260" t="s">
        <v>53</v>
      </c>
      <c r="D387" s="271"/>
      <c r="E387" s="256"/>
      <c r="F387" s="257">
        <f>5.42484</f>
        <v>5.4248399999999997</v>
      </c>
      <c r="G387" s="257">
        <f>1037.08314</f>
        <v>1037.08314</v>
      </c>
      <c r="H387" s="257"/>
      <c r="I387" s="257">
        <f>858.54383</f>
        <v>858.54382999999996</v>
      </c>
      <c r="J387" s="130"/>
    </row>
    <row r="388" spans="1:10" ht="14.15" customHeight="1" x14ac:dyDescent="0.35">
      <c r="A388" s="218"/>
      <c r="B388" s="72"/>
      <c r="C388" s="273" t="s">
        <v>104</v>
      </c>
      <c r="D388" s="274"/>
      <c r="E388" s="277"/>
      <c r="F388" s="278">
        <f>67.41557</f>
        <v>67.415570000000002</v>
      </c>
      <c r="G388" s="278">
        <f>2410.56984</f>
        <v>2410.5698400000001</v>
      </c>
      <c r="H388" s="278"/>
      <c r="I388" s="278">
        <f>2987.66006</f>
        <v>2987.6600600000002</v>
      </c>
      <c r="J388" s="130"/>
    </row>
    <row r="389" spans="1:10" ht="14.15" customHeight="1" x14ac:dyDescent="0.35">
      <c r="A389" s="218"/>
      <c r="B389" s="72"/>
      <c r="C389" s="265" t="s">
        <v>34</v>
      </c>
      <c r="D389" s="266">
        <v>13</v>
      </c>
      <c r="E389" s="266">
        <v>13</v>
      </c>
      <c r="F389" s="268">
        <f>0.032</f>
        <v>3.2000000000000001E-2</v>
      </c>
      <c r="G389" s="268">
        <f>0.1484</f>
        <v>0.1484</v>
      </c>
      <c r="H389" s="268">
        <f>E389-G389</f>
        <v>12.851599999999999</v>
      </c>
      <c r="I389" s="268">
        <f>0.7485</f>
        <v>0.74850000000000005</v>
      </c>
      <c r="J389" s="130"/>
    </row>
    <row r="390" spans="1:10" ht="14.15" customHeight="1" x14ac:dyDescent="0.35">
      <c r="A390" s="218"/>
      <c r="B390" s="72"/>
      <c r="C390" s="279" t="s">
        <v>105</v>
      </c>
      <c r="D390" s="282"/>
      <c r="E390" s="283"/>
      <c r="F390" s="268">
        <f>0.069</f>
        <v>6.9000000000000006E-2</v>
      </c>
      <c r="G390" s="268">
        <f>105.13667</f>
        <v>105.13667</v>
      </c>
      <c r="H390" s="268">
        <f>E390-G390</f>
        <v>-105.13667</v>
      </c>
      <c r="I390" s="268">
        <f>116.76062</f>
        <v>116.76062</v>
      </c>
      <c r="J390" s="130"/>
    </row>
    <row r="391" spans="1:10" ht="19.5" customHeight="1" x14ac:dyDescent="0.3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245.81689</v>
      </c>
      <c r="G391" s="287">
        <f t="shared" si="19"/>
        <v>23621.660849999997</v>
      </c>
      <c r="H391" s="287">
        <f>H380+H385+H386+H389+H390</f>
        <v>12860.339150000002</v>
      </c>
      <c r="I391" s="287">
        <f t="shared" si="19"/>
        <v>25045.406640000005</v>
      </c>
      <c r="J391" s="130"/>
    </row>
    <row r="392" spans="1:10" ht="14.15" customHeight="1" x14ac:dyDescent="0.35">
      <c r="A392" s="218"/>
      <c r="B392" s="72"/>
      <c r="C392" s="161" t="s">
        <v>106</v>
      </c>
      <c r="D392" s="289"/>
      <c r="E392" s="289"/>
      <c r="F392" s="4"/>
      <c r="G392" s="4"/>
      <c r="H392" s="5"/>
      <c r="I392" s="5"/>
      <c r="J392" s="130"/>
    </row>
    <row r="393" spans="1:10" ht="14.15" customHeight="1" x14ac:dyDescent="0.35">
      <c r="A393" s="218"/>
      <c r="B393" s="72"/>
      <c r="C393" s="101" t="s">
        <v>142</v>
      </c>
      <c r="D393" s="289"/>
      <c r="E393" s="289"/>
      <c r="F393" s="4"/>
      <c r="G393" s="4"/>
      <c r="H393" s="7"/>
      <c r="I393" s="5"/>
      <c r="J393" s="130"/>
    </row>
    <row r="394" spans="1:10" ht="14.15" customHeight="1" x14ac:dyDescent="0.35">
      <c r="A394" s="218"/>
      <c r="B394" s="72"/>
      <c r="C394" s="101"/>
      <c r="D394" s="289"/>
      <c r="E394" s="289"/>
      <c r="F394" s="4"/>
      <c r="G394" s="4"/>
      <c r="H394" s="5"/>
      <c r="I394" s="7"/>
      <c r="J394" s="130"/>
    </row>
    <row r="395" spans="1:10" ht="15.75" customHeight="1" x14ac:dyDescent="0.3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3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35">
      <c r="A397" s="218"/>
      <c r="B397" s="150" t="s">
        <v>113</v>
      </c>
      <c r="C397" s="14"/>
      <c r="D397" s="1"/>
      <c r="E397" s="1"/>
      <c r="F397" s="1"/>
      <c r="G397" s="1"/>
      <c r="H397" s="1"/>
      <c r="I397" s="1"/>
      <c r="J397" s="150"/>
    </row>
    <row r="398" spans="1:10" ht="14.15" customHeight="1" x14ac:dyDescent="0.35">
      <c r="A398" s="218"/>
      <c r="C398" s="150" t="s">
        <v>113</v>
      </c>
      <c r="D398" s="156"/>
    </row>
    <row r="399" spans="1:10" ht="14.15" customHeight="1" x14ac:dyDescent="0.3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5" customHeight="1" x14ac:dyDescent="0.35">
      <c r="A400" s="218"/>
      <c r="B400" s="72"/>
      <c r="C400" s="219" t="s">
        <v>107</v>
      </c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5" customHeight="1" x14ac:dyDescent="0.3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5" customHeight="1" x14ac:dyDescent="0.3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5" customHeight="1" x14ac:dyDescent="0.3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5" customHeight="1" x14ac:dyDescent="0.35">
      <c r="A407" s="218"/>
      <c r="B407" s="72"/>
      <c r="C407" s="301" t="s">
        <v>138</v>
      </c>
      <c r="D407" s="301"/>
      <c r="E407" s="301"/>
      <c r="F407" s="301"/>
      <c r="G407" s="214"/>
      <c r="H407" s="214"/>
      <c r="I407" s="150"/>
      <c r="J407" s="130"/>
    </row>
    <row r="408" spans="1:10" ht="14.15" customHeight="1" x14ac:dyDescent="0.3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5" customHeight="1" x14ac:dyDescent="0.3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5" customHeight="1" x14ac:dyDescent="0.3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3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35">
      <c r="A412" s="218"/>
      <c r="B412" s="198"/>
      <c r="C412" s="20" t="s">
        <v>108</v>
      </c>
      <c r="D412" s="22" t="s">
        <v>109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5" customHeight="1" x14ac:dyDescent="0.35">
      <c r="A413" s="218"/>
      <c r="B413" s="72"/>
      <c r="C413" s="265" t="s">
        <v>110</v>
      </c>
      <c r="D413" s="204">
        <v>894</v>
      </c>
      <c r="E413" s="26">
        <f>SUM(E414:E415)</f>
        <v>28.471900000000002</v>
      </c>
      <c r="F413" s="26">
        <f>SUM(F414:F415)</f>
        <v>832.27518000000009</v>
      </c>
      <c r="G413" s="85">
        <f>D413-F413</f>
        <v>61.724819999999909</v>
      </c>
      <c r="H413" s="26">
        <f>SUM(H414:H415)</f>
        <v>811.03589999999997</v>
      </c>
      <c r="I413" s="27"/>
      <c r="J413" s="130"/>
    </row>
    <row r="414" spans="1:10" ht="14.15" customHeight="1" x14ac:dyDescent="0.35">
      <c r="A414" s="218"/>
      <c r="B414" s="72"/>
      <c r="C414" s="29" t="s">
        <v>8</v>
      </c>
      <c r="E414" s="205">
        <f>20.7175</f>
        <v>20.717500000000001</v>
      </c>
      <c r="F414" s="205">
        <f>633.51858</f>
        <v>633.51858000000004</v>
      </c>
      <c r="G414" s="206"/>
      <c r="H414" s="205">
        <f>622.9081</f>
        <v>622.90809999999999</v>
      </c>
      <c r="I414" s="150"/>
      <c r="J414" s="130"/>
    </row>
    <row r="415" spans="1:10" ht="14.15" customHeight="1" x14ac:dyDescent="0.35">
      <c r="A415" s="218"/>
      <c r="B415" s="72"/>
      <c r="C415" s="29" t="s">
        <v>11</v>
      </c>
      <c r="D415" s="207"/>
      <c r="E415" s="208">
        <f>7.7544</f>
        <v>7.7544000000000004</v>
      </c>
      <c r="F415" s="208">
        <f>198.7566</f>
        <v>198.75659999999999</v>
      </c>
      <c r="G415" s="209"/>
      <c r="H415" s="208">
        <f>188.1278</f>
        <v>188.12780000000001</v>
      </c>
      <c r="I415" s="150"/>
      <c r="J415" s="130"/>
    </row>
    <row r="416" spans="1:10" ht="14.15" customHeight="1" x14ac:dyDescent="0.35">
      <c r="A416" s="218"/>
      <c r="B416" s="72"/>
      <c r="C416" s="265" t="s">
        <v>111</v>
      </c>
      <c r="D416" s="10">
        <v>894</v>
      </c>
      <c r="E416" s="26">
        <f>SUM(E417:E418)</f>
        <v>0</v>
      </c>
      <c r="F416" s="26">
        <f>SUM(F417:F418)</f>
        <v>0</v>
      </c>
      <c r="G416" s="85">
        <f>D416-F416</f>
        <v>894</v>
      </c>
      <c r="H416" s="26">
        <f>SUM(H417:H418)</f>
        <v>0</v>
      </c>
      <c r="I416" s="27"/>
      <c r="J416" s="130"/>
    </row>
    <row r="417" spans="1:10" ht="14.15" customHeight="1" x14ac:dyDescent="0.35">
      <c r="A417" s="218"/>
      <c r="B417" s="72"/>
      <c r="C417" s="29" t="s">
        <v>8</v>
      </c>
      <c r="D417" s="42"/>
      <c r="E417" s="30">
        <f>0</f>
        <v>0</v>
      </c>
      <c r="F417" s="30">
        <f>0</f>
        <v>0</v>
      </c>
      <c r="G417" s="97"/>
      <c r="H417" s="30">
        <f>0</f>
        <v>0</v>
      </c>
      <c r="I417" s="150"/>
      <c r="J417" s="130"/>
    </row>
    <row r="418" spans="1:10" ht="14.15" customHeight="1" x14ac:dyDescent="0.35">
      <c r="A418" s="218"/>
      <c r="B418" s="72"/>
      <c r="C418" s="29" t="s">
        <v>11</v>
      </c>
      <c r="D418" s="221"/>
      <c r="E418" s="30">
        <f>0</f>
        <v>0</v>
      </c>
      <c r="F418" s="30">
        <f>0</f>
        <v>0</v>
      </c>
      <c r="G418" s="108"/>
      <c r="H418" s="30">
        <f>0</f>
        <v>0</v>
      </c>
      <c r="I418" s="150"/>
      <c r="J418" s="130"/>
    </row>
    <row r="419" spans="1:10" ht="14.15" customHeight="1" x14ac:dyDescent="0.35">
      <c r="A419" s="218"/>
      <c r="B419" s="72"/>
      <c r="C419" s="265" t="s">
        <v>112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5" customHeight="1" x14ac:dyDescent="0.3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5" customHeight="1" x14ac:dyDescent="0.3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5" customHeight="1" x14ac:dyDescent="0.3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5" customHeight="1" x14ac:dyDescent="0.3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28.471900000000002</v>
      </c>
      <c r="F423" s="40">
        <f>F413+F416+F419+F422</f>
        <v>832.27518000000009</v>
      </c>
      <c r="G423" s="41">
        <f>D423-F423</f>
        <v>1848.7248199999999</v>
      </c>
      <c r="H423" s="40">
        <f>H413+H416+H419+H422</f>
        <v>811.03589999999997</v>
      </c>
      <c r="I423" s="27"/>
      <c r="J423" s="130"/>
    </row>
    <row r="424" spans="1:10" ht="42" customHeight="1" x14ac:dyDescent="0.35">
      <c r="A424" s="218"/>
      <c r="B424" s="72"/>
      <c r="C424" s="292" t="s">
        <v>117</v>
      </c>
      <c r="D424" s="292"/>
      <c r="E424" s="292"/>
      <c r="F424" s="292"/>
      <c r="G424" s="292"/>
      <c r="H424" s="292"/>
      <c r="I424" s="292"/>
      <c r="J424" s="293"/>
    </row>
    <row r="425" spans="1:10" ht="14.15" customHeight="1" x14ac:dyDescent="0.3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0" hidden="1" customHeight="1" x14ac:dyDescent="0.35"/>
    <row r="65610" ht="16.5" customHeight="1" x14ac:dyDescent="0.35"/>
  </sheetData>
  <mergeCells count="15">
    <mergeCell ref="C17:H17"/>
    <mergeCell ref="B2:J2"/>
    <mergeCell ref="B9:J9"/>
    <mergeCell ref="C11:D11"/>
    <mergeCell ref="E11:F11"/>
    <mergeCell ref="G11:H11"/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40&amp;R07.10.2024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2024-10-08T08:13:28Z</dcterms:modified>
</cp:coreProperties>
</file>