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693D2554-7D40-40AE-8695-0144FDE3B8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G97" i="1"/>
  <c r="H97" i="1" s="1"/>
  <c r="G98" i="1"/>
  <c r="H98" i="1" s="1"/>
  <c r="G99" i="1"/>
  <c r="G96" i="1" s="1"/>
  <c r="G95" i="1" s="1"/>
  <c r="G100" i="1"/>
  <c r="D331" i="1"/>
  <c r="H329" i="1"/>
  <c r="F329" i="1"/>
  <c r="E329" i="1"/>
  <c r="H328" i="1"/>
  <c r="H327" i="1" s="1"/>
  <c r="F328" i="1"/>
  <c r="F327" i="1" s="1"/>
  <c r="G327" i="1" s="1"/>
  <c r="E328" i="1"/>
  <c r="E327" i="1" s="1"/>
  <c r="H326" i="1"/>
  <c r="F326" i="1"/>
  <c r="E326" i="1"/>
  <c r="E324" i="1" s="1"/>
  <c r="H325" i="1"/>
  <c r="H324" i="1" s="1"/>
  <c r="F325" i="1"/>
  <c r="E325" i="1"/>
  <c r="F324" i="1"/>
  <c r="G324" i="1" s="1"/>
  <c r="H323" i="1"/>
  <c r="F323" i="1"/>
  <c r="E323" i="1"/>
  <c r="E321" i="1" s="1"/>
  <c r="H322" i="1"/>
  <c r="F322" i="1"/>
  <c r="E322" i="1"/>
  <c r="H321" i="1"/>
  <c r="H331" i="1" s="1"/>
  <c r="F321" i="1"/>
  <c r="G321" i="1" s="1"/>
  <c r="E299" i="1"/>
  <c r="D299" i="1"/>
  <c r="I298" i="1"/>
  <c r="G298" i="1"/>
  <c r="H298" i="1" s="1"/>
  <c r="F298" i="1"/>
  <c r="I297" i="1"/>
  <c r="G297" i="1"/>
  <c r="H297" i="1" s="1"/>
  <c r="F297" i="1"/>
  <c r="I296" i="1"/>
  <c r="G296" i="1"/>
  <c r="F296" i="1"/>
  <c r="F294" i="1" s="1"/>
  <c r="I295" i="1"/>
  <c r="G295" i="1"/>
  <c r="F295" i="1"/>
  <c r="I294" i="1"/>
  <c r="H294" i="1"/>
  <c r="G294" i="1"/>
  <c r="I293" i="1"/>
  <c r="G293" i="1"/>
  <c r="H293" i="1" s="1"/>
  <c r="F293" i="1"/>
  <c r="I292" i="1"/>
  <c r="H292" i="1"/>
  <c r="G292" i="1"/>
  <c r="F292" i="1"/>
  <c r="I291" i="1"/>
  <c r="G291" i="1"/>
  <c r="H291" i="1" s="1"/>
  <c r="H288" i="1" s="1"/>
  <c r="H299" i="1" s="1"/>
  <c r="F291" i="1"/>
  <c r="I290" i="1"/>
  <c r="H290" i="1"/>
  <c r="G290" i="1"/>
  <c r="F290" i="1"/>
  <c r="I289" i="1"/>
  <c r="G289" i="1"/>
  <c r="H289" i="1" s="1"/>
  <c r="F289" i="1"/>
  <c r="I288" i="1"/>
  <c r="I299" i="1" s="1"/>
  <c r="G288" i="1"/>
  <c r="G299" i="1" s="1"/>
  <c r="F288" i="1"/>
  <c r="F299" i="1" s="1"/>
  <c r="E288" i="1"/>
  <c r="D288" i="1"/>
  <c r="H280" i="1"/>
  <c r="F280" i="1"/>
  <c r="D262" i="1"/>
  <c r="H261" i="1"/>
  <c r="F261" i="1"/>
  <c r="E261" i="1"/>
  <c r="H260" i="1"/>
  <c r="G260" i="1"/>
  <c r="F260" i="1"/>
  <c r="E260" i="1"/>
  <c r="H259" i="1"/>
  <c r="F259" i="1"/>
  <c r="G259" i="1" s="1"/>
  <c r="E259" i="1"/>
  <c r="H258" i="1"/>
  <c r="H262" i="1" s="1"/>
  <c r="G258" i="1"/>
  <c r="F258" i="1"/>
  <c r="F262" i="1" s="1"/>
  <c r="G262" i="1" s="1"/>
  <c r="E258" i="1"/>
  <c r="E262" i="1" s="1"/>
  <c r="D251" i="1"/>
  <c r="E207" i="1"/>
  <c r="D207" i="1"/>
  <c r="G206" i="1"/>
  <c r="H205" i="1"/>
  <c r="G205" i="1"/>
  <c r="F205" i="1"/>
  <c r="E205" i="1"/>
  <c r="H204" i="1"/>
  <c r="H207" i="1" s="1"/>
  <c r="G204" i="1"/>
  <c r="F204" i="1"/>
  <c r="F207" i="1" s="1"/>
  <c r="E204" i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G177" i="1"/>
  <c r="F177" i="1"/>
  <c r="E177" i="1"/>
  <c r="H176" i="1"/>
  <c r="F176" i="1"/>
  <c r="E176" i="1"/>
  <c r="H175" i="1"/>
  <c r="H184" i="1" s="1"/>
  <c r="F175" i="1"/>
  <c r="G175" i="1" s="1"/>
  <c r="E175" i="1"/>
  <c r="E184" i="1" s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I139" i="1" s="1"/>
  <c r="G140" i="1"/>
  <c r="H140" i="1" s="1"/>
  <c r="H139" i="1" s="1"/>
  <c r="F140" i="1"/>
  <c r="F139" i="1" s="1"/>
  <c r="E139" i="1"/>
  <c r="E133" i="1" s="1"/>
  <c r="E150" i="1" s="1"/>
  <c r="I138" i="1"/>
  <c r="H138" i="1"/>
  <c r="F138" i="1"/>
  <c r="I137" i="1"/>
  <c r="H137" i="1"/>
  <c r="F137" i="1"/>
  <c r="I136" i="1"/>
  <c r="H136" i="1"/>
  <c r="F136" i="1"/>
  <c r="I135" i="1"/>
  <c r="H135" i="1"/>
  <c r="H134" i="1" s="1"/>
  <c r="F135" i="1"/>
  <c r="F134" i="1" s="1"/>
  <c r="F133" i="1" s="1"/>
  <c r="I134" i="1"/>
  <c r="G134" i="1"/>
  <c r="E134" i="1"/>
  <c r="I132" i="1"/>
  <c r="H132" i="1"/>
  <c r="F132" i="1"/>
  <c r="H131" i="1"/>
  <c r="I130" i="1"/>
  <c r="I128" i="1" s="1"/>
  <c r="G130" i="1"/>
  <c r="H130" i="1" s="1"/>
  <c r="F130" i="1"/>
  <c r="I129" i="1"/>
  <c r="G129" i="1"/>
  <c r="H129" i="1" s="1"/>
  <c r="H128" i="1" s="1"/>
  <c r="F129" i="1"/>
  <c r="G128" i="1"/>
  <c r="F128" i="1"/>
  <c r="E128" i="1"/>
  <c r="C126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H100" i="1"/>
  <c r="F100" i="1"/>
  <c r="I99" i="1"/>
  <c r="F99" i="1"/>
  <c r="I98" i="1"/>
  <c r="F98" i="1"/>
  <c r="I97" i="1"/>
  <c r="I96" i="1" s="1"/>
  <c r="I95" i="1" s="1"/>
  <c r="F97" i="1"/>
  <c r="F96" i="1" s="1"/>
  <c r="F95" i="1" s="1"/>
  <c r="E96" i="1"/>
  <c r="D96" i="1"/>
  <c r="E95" i="1"/>
  <c r="D95" i="1"/>
  <c r="D107" i="1" s="1"/>
  <c r="I94" i="1"/>
  <c r="H94" i="1"/>
  <c r="G94" i="1"/>
  <c r="F94" i="1"/>
  <c r="I93" i="1"/>
  <c r="G93" i="1"/>
  <c r="G92" i="1" s="1"/>
  <c r="F93" i="1"/>
  <c r="F92" i="1" s="1"/>
  <c r="I92" i="1"/>
  <c r="I107" i="1" s="1"/>
  <c r="E92" i="1"/>
  <c r="E107" i="1" s="1"/>
  <c r="C89" i="1"/>
  <c r="H85" i="1"/>
  <c r="F85" i="1"/>
  <c r="D85" i="1"/>
  <c r="G61" i="1"/>
  <c r="G60" i="1"/>
  <c r="H55" i="1"/>
  <c r="F55" i="1"/>
  <c r="G55" i="1" s="1"/>
  <c r="E55" i="1"/>
  <c r="F32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I34" i="1" s="1"/>
  <c r="G36" i="1"/>
  <c r="H36" i="1" s="1"/>
  <c r="F36" i="1"/>
  <c r="F34" i="1" s="1"/>
  <c r="I35" i="1"/>
  <c r="G35" i="1"/>
  <c r="F35" i="1"/>
  <c r="I33" i="1"/>
  <c r="G33" i="1"/>
  <c r="H33" i="1" s="1"/>
  <c r="F33" i="1"/>
  <c r="I32" i="1"/>
  <c r="H32" i="1"/>
  <c r="G32" i="1"/>
  <c r="I31" i="1"/>
  <c r="G31" i="1"/>
  <c r="H31" i="1" s="1"/>
  <c r="F31" i="1"/>
  <c r="I30" i="1"/>
  <c r="H30" i="1"/>
  <c r="G30" i="1"/>
  <c r="F30" i="1"/>
  <c r="I29" i="1"/>
  <c r="G29" i="1"/>
  <c r="F29" i="1"/>
  <c r="I28" i="1"/>
  <c r="G28" i="1"/>
  <c r="H28" i="1" s="1"/>
  <c r="F28" i="1"/>
  <c r="F27" i="1" s="1"/>
  <c r="I25" i="1"/>
  <c r="G25" i="1"/>
  <c r="G23" i="1" s="1"/>
  <c r="F25" i="1"/>
  <c r="I24" i="1"/>
  <c r="I23" i="1" s="1"/>
  <c r="G24" i="1"/>
  <c r="H24" i="1" s="1"/>
  <c r="F24" i="1"/>
  <c r="F23" i="1"/>
  <c r="H16" i="1"/>
  <c r="F16" i="1"/>
  <c r="D16" i="1"/>
  <c r="H99" i="1" l="1"/>
  <c r="H96" i="1" s="1"/>
  <c r="H95" i="1" s="1"/>
  <c r="G107" i="1"/>
  <c r="I27" i="1"/>
  <c r="I26" i="1"/>
  <c r="I44" i="1" s="1"/>
  <c r="F26" i="1"/>
  <c r="F44" i="1"/>
  <c r="G27" i="1"/>
  <c r="G34" i="1"/>
  <c r="G331" i="1"/>
  <c r="H34" i="1"/>
  <c r="G26" i="1"/>
  <c r="G44" i="1" s="1"/>
  <c r="H133" i="1"/>
  <c r="H150" i="1" s="1"/>
  <c r="F107" i="1"/>
  <c r="F150" i="1"/>
  <c r="I133" i="1"/>
  <c r="I150" i="1" s="1"/>
  <c r="G207" i="1"/>
  <c r="E331" i="1"/>
  <c r="H25" i="1"/>
  <c r="H23" i="1" s="1"/>
  <c r="H29" i="1"/>
  <c r="H27" i="1" s="1"/>
  <c r="H35" i="1"/>
  <c r="H93" i="1"/>
  <c r="H92" i="1" s="1"/>
  <c r="G139" i="1"/>
  <c r="G133" i="1" s="1"/>
  <c r="G150" i="1" s="1"/>
  <c r="F184" i="1"/>
  <c r="G184" i="1" s="1"/>
  <c r="F331" i="1"/>
  <c r="H26" i="1" l="1"/>
  <c r="H44" i="1" s="1"/>
  <c r="H107" i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<sst xmlns="http://schemas.openxmlformats.org/spreadsheetml/2006/main" count="330" uniqueCount="148">
  <si>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</si>
  <si>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</si>
  <si>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</si>
  <si>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</si>
  <si>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</si>
  <si>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</si>
  <si>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</si>
  <si>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</si>
  <si>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</si>
  <si>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</si>
  <si>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</si>
  <si>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</si>
  <si>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</si>
  <si>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</si>
  <si>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</si>
  <si>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</si>
  <si>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</si>
  <si>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</si>
  <si>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</si>
  <si>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</si>
  <si>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</si>
  <si>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</si>
  <si>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</si>
  <si>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</si>
  <si>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</si>
  <si>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</si>
  <si>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</si>
  <si>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</si>
  <si>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</si>
  <si>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</si>
  <si>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</si>
  <si>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</si>
  <si>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</si>
  <si>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</si>
  <si>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</si>
  <si>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</si>
  <si>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</si>
  <si>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</si>
  <si>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</si>
  <si>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</si>
  <si>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</si>
  <si>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</si>
  <si>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</si>
  <si>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</si>
  <si>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</si>
  <si>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</si>
  <si>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</si>
  <si>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</si>
  <si>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</si>
  <si>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</si>
  <si>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</si>
  <si>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</si>
  <si>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</si>
  <si>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</si>
  <si>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</si>
  <si>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</si>
  <si>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</si>
  <si>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</si>
  <si>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</si>
  <si>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</si>
  <si>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</si>
  <si>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</si>
  <si>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</si>
  <si>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</si>
  <si>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</si>
  <si>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</si>
  <si>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</si>
  <si>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</si>
  <si>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</si>
  <si>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</si>
  <si>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</si>
  <si>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</si>
  <si>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</si>
  <si>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</si>
  <si>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</si>
  <si>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</si>
  <si>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</si>
  <si>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</si>
  <si>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</si>
  <si>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</si>
  <si>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</si>
  <si>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</si>
  <si>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</si>
  <si>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</si>
  <si>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</si>
  <si>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</si>
  <si>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</si>
  <si>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</si>
  <si>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</si>
  <si>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</si>
  <si>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</si>
  <si>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</si>
  <si>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</si>
  <si>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</si>
  <si>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</si>
  <si>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</si>
  <si>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</si>
  <si>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</si>
  <si>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</si>
  <si>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</si>
  <si>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</si>
  <si>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</si>
  <si>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</si>
  <si>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</si>
  <si>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</si>
  <si>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</si>
  <si>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</si>
  <si>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</si>
  <si>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</si>
  <si>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</si>
  <si>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</si>
  <si>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</si>
  <si>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</si>
  <si>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</si>
  <si>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</si>
  <si>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</si>
  <si>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</si>
  <si>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</si>
  <si>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</si>
  <si>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</si>
  <si>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</si>
  <si>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</si>
  <si>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</si>
  <si>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</si>
  <si>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</si>
  <si>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</si>
  <si>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</si>
  <si>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</si>
  <si>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</si>
  <si>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</si>
  <si>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</si>
  <si>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</si>
  <si>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</si>
  <si>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</si>
  <si>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</si>
  <si>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</si>
  <si>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</si>
  <si>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</si>
  <si>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</si>
  <si>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</si>
  <si>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24</t>
  </si>
  <si>
    <t>FANGST T.O.M UKE 24</t>
  </si>
  <si>
    <t>RESTKVOTER UKE 24</t>
  </si>
  <si>
    <t>FANGST T.O.M UKE 24 2022</t>
  </si>
  <si>
    <r>
      <t xml:space="preserve">3 </t>
    </r>
    <r>
      <rPr>
        <sz val="9"/>
        <color indexed="8"/>
        <rFont val="Calibri"/>
        <family val="2"/>
      </rPr>
      <t>Registrert rekreasjonsfiske utgjør 503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</si>
  <si>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42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</si>
  <si>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292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</si>
  <si>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1 607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</si>
</sst>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138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433.68</v>
      </c>
      <c r="G23" s="28">
        <f t="shared" si="0"/>
        <v>46900.476859999995</v>
      </c>
      <c r="H23" s="11">
        <f t="shared" si="0"/>
        <v>39926.523140000005</v>
      </c>
      <c r="I23" s="11">
        <f t="shared" si="0"/>
        <v>55458.082730000002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433.68</f>
        <v>433.68</v>
      </c>
      <c r="G24" s="23">
        <f>46667.07212</f>
        <v>46667.072119999997</v>
      </c>
      <c r="H24" s="23">
        <f>E24-G24</f>
        <v>39377.927880000003</v>
      </c>
      <c r="I24" s="23">
        <f>55157.87526</f>
        <v>55157.875260000001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233.40474</f>
        <v>233.40474</v>
      </c>
      <c r="H25" s="23">
        <f>E25-G25</f>
        <v>548.59526000000005</v>
      </c>
      <c r="I25" s="23">
        <f>300.20747</f>
        <v>300.20747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736.52470000000005</v>
      </c>
      <c r="G26" s="11">
        <f t="shared" si="1"/>
        <v>163069.46007</v>
      </c>
      <c r="H26" s="11">
        <f t="shared" si="1"/>
        <v>34500.539929999999</v>
      </c>
      <c r="I26" s="11">
        <f t="shared" si="1"/>
        <v>197789.51366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375.82938000000001</v>
      </c>
      <c r="G27" s="134">
        <f t="shared" ref="G27:I27" si="2">G28+G29+G30+G31+G32</f>
        <v>129508.52711</v>
      </c>
      <c r="H27" s="134">
        <f t="shared" si="2"/>
        <v>23142.472890000005</v>
      </c>
      <c r="I27" s="134">
        <f t="shared" si="2"/>
        <v>162990.49812999999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115.26191</f>
        <v>115.26191</v>
      </c>
      <c r="G28" s="129">
        <f>35796.61775 - F57</f>
        <v>35796.617749999998</v>
      </c>
      <c r="H28" s="129">
        <f t="shared" ref="H28:H40" si="3">E28-G28</f>
        <v>3752.3822500000024</v>
      </c>
      <c r="I28" s="129">
        <f>41856.75766 - H57</f>
        <v>41856.757660000003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153.9515</f>
        <v>153.95150000000001</v>
      </c>
      <c r="G29" s="129">
        <f>36664.6371 - F58</f>
        <v>36664.6371</v>
      </c>
      <c r="H29" s="129">
        <f t="shared" si="3"/>
        <v>4099.3629000000001</v>
      </c>
      <c r="I29" s="129">
        <f>44108.36522 - H58</f>
        <v>44108.36522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86.92547</f>
        <v>86.925470000000004</v>
      </c>
      <c r="G30" s="129">
        <f>34007.70396 - F59</f>
        <v>34007.703959999999</v>
      </c>
      <c r="H30" s="129">
        <f t="shared" si="3"/>
        <v>3259.2960400000011</v>
      </c>
      <c r="I30" s="129">
        <f>45002.23132 - H59</f>
        <v>45002.231319999999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19.6905</f>
        <v>19.6905</v>
      </c>
      <c r="G31" s="129">
        <f>23039.5683 - F60</f>
        <v>23039.568299999999</v>
      </c>
      <c r="H31" s="129">
        <f t="shared" si="3"/>
        <v>2367.431700000001</v>
      </c>
      <c r="I31" s="129">
        <f>32023.14393 - H60</f>
        <v>32023.143929999998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178.19699</f>
        <v>178.19699</v>
      </c>
      <c r="G33" s="134">
        <f>13879.93071</f>
        <v>13879.930710000001</v>
      </c>
      <c r="H33" s="134">
        <f t="shared" si="3"/>
        <v>9706.0692899999995</v>
      </c>
      <c r="I33" s="134">
        <f>15969.96086</f>
        <v>15969.960859999999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182.49833000000001</v>
      </c>
      <c r="G34" s="134">
        <f>G35+G36</f>
        <v>19681.002250000001</v>
      </c>
      <c r="H34" s="134">
        <f t="shared" si="3"/>
        <v>1651.9977499999986</v>
      </c>
      <c r="I34" s="134">
        <f>I35+I36</f>
        <v>18829.054670000001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182.49833</f>
        <v>182.49833000000001</v>
      </c>
      <c r="G35" s="134">
        <f>23668.00225 - F61 - F62</f>
        <v>19681.002250000001</v>
      </c>
      <c r="H35" s="129">
        <f t="shared" si="3"/>
        <v>451.99774999999863</v>
      </c>
      <c r="I35" s="129">
        <f>20290.05467 - H61 - H62</f>
        <v>18829.054670000001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321.6963</f>
        <v>321.69630000000001</v>
      </c>
      <c r="H37" s="141">
        <f t="shared" si="3"/>
        <v>2678.3036999999999</v>
      </c>
      <c r="I37" s="141">
        <f>333.80295</f>
        <v>333.80295000000001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4.2</f>
        <v>4.2</v>
      </c>
      <c r="G38" s="100">
        <f>486.26274</f>
        <v>486.26274000000001</v>
      </c>
      <c r="H38" s="100">
        <f t="shared" si="3"/>
        <v>364.73725999999999</v>
      </c>
      <c r="I38" s="100">
        <f>448.09141</f>
        <v>448.09141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86</v>
      </c>
      <c r="G39" s="100">
        <f>F61</f>
        <v>3987</v>
      </c>
      <c r="H39" s="100">
        <f t="shared" si="3"/>
        <v>-939</v>
      </c>
      <c r="I39" s="100">
        <f>H61</f>
        <v>1461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13.36495</f>
        <v>13.36495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1273.7726499999999</v>
      </c>
      <c r="G44" s="78">
        <f t="shared" si="4"/>
        <v>221844.45697000003</v>
      </c>
      <c r="H44" s="78">
        <f t="shared" si="4"/>
        <v>76851.543029999972</v>
      </c>
      <c r="I44" s="78">
        <f t="shared" si="4"/>
        <v>262611.42917999998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144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86</v>
      </c>
      <c r="F61" s="141">
        <v>3987</v>
      </c>
      <c r="G61" s="141">
        <f>D61-F61</f>
        <v>-987</v>
      </c>
      <c r="H61" s="141">
        <v>1461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139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34.299999999999997</v>
      </c>
      <c r="G92" s="11">
        <f t="shared" si="5"/>
        <v>38619.172530000003</v>
      </c>
      <c r="H92" s="11">
        <f t="shared" si="5"/>
        <v>-3820.1725300000026</v>
      </c>
      <c r="I92" s="11">
        <f t="shared" si="5"/>
        <v>34740.274740000001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34.3</f>
        <v>34.299999999999997</v>
      </c>
      <c r="G93" s="23">
        <f>38125.19359</f>
        <v>38125.193590000003</v>
      </c>
      <c r="H93" s="23">
        <f>E93-G93</f>
        <v>-4138.1935900000026</v>
      </c>
      <c r="I93" s="23">
        <f>34090.74607</f>
        <v>34090.746070000001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493.97894</f>
        <v>493.97894000000002</v>
      </c>
      <c r="H94" s="52">
        <f>E94-G94</f>
        <v>318.02105999999998</v>
      </c>
      <c r="I94" s="52">
        <f>649.52867</f>
        <v>649.52867000000003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914.05415999999991</v>
      </c>
      <c r="G95" s="11">
        <f t="shared" si="6"/>
        <v>20292.922159999998</v>
      </c>
      <c r="H95" s="11">
        <f t="shared" si="6"/>
        <v>39207.077840000005</v>
      </c>
      <c r="I95" s="11">
        <f t="shared" si="6"/>
        <v>25206.295579999998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810.79334999999992</v>
      </c>
      <c r="G96" s="134">
        <f t="shared" si="7"/>
        <v>14158.25267</v>
      </c>
      <c r="H96" s="134">
        <f t="shared" si="7"/>
        <v>30332.747330000002</v>
      </c>
      <c r="I96" s="134">
        <f t="shared" si="7"/>
        <v>19603.540969999998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30.03802</f>
        <v>30.038019999999999</v>
      </c>
      <c r="G97" s="129">
        <f>2295.60918</f>
        <v>2295.6091799999999</v>
      </c>
      <c r="H97" s="129">
        <f t="shared" ref="H97:H104" si="8">E97-G97</f>
        <v>9588.0908200000013</v>
      </c>
      <c r="I97" s="129">
        <f>2432.06914</f>
        <v>2432.0691400000001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310.70387</f>
        <v>310.70386999999999</v>
      </c>
      <c r="G98" s="129">
        <f>4560.57506</f>
        <v>4560.5750600000001</v>
      </c>
      <c r="H98" s="129">
        <f t="shared" si="8"/>
        <v>8104.5249400000002</v>
      </c>
      <c r="I98" s="129">
        <f>6562.61845</f>
        <v>6562.6184499999999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291.37926</f>
        <v>291.37925999999999</v>
      </c>
      <c r="G99" s="129">
        <f>3847.27186</f>
        <v>3847.2718599999998</v>
      </c>
      <c r="H99" s="129">
        <f t="shared" si="8"/>
        <v>8118.3281400000005</v>
      </c>
      <c r="I99" s="129">
        <f>5634.63416</f>
        <v>5634.6341599999996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178.6722</f>
        <v>178.6722</v>
      </c>
      <c r="G100" s="129">
        <f>3454.79657</f>
        <v>3454.79657</v>
      </c>
      <c r="H100" s="129">
        <f t="shared" si="8"/>
        <v>4521.8034299999999</v>
      </c>
      <c r="I100" s="129">
        <f>4974.21922</f>
        <v>4974.21922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88.49234</f>
        <v>88.492339999999999</v>
      </c>
      <c r="G101" s="134">
        <f>4993.15439</f>
        <v>4993.1543899999997</v>
      </c>
      <c r="H101" s="134">
        <f t="shared" si="8"/>
        <v>5397.8456100000003</v>
      </c>
      <c r="I101" s="134">
        <f>4657.69254</f>
        <v>4657.69254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14.76847</f>
        <v>14.768470000000001</v>
      </c>
      <c r="G102" s="77">
        <f>1141.5151</f>
        <v>1141.5151000000001</v>
      </c>
      <c r="H102" s="77">
        <f t="shared" si="8"/>
        <v>3476.4848999999999</v>
      </c>
      <c r="I102" s="77">
        <f>945.06207</f>
        <v>945.06206999999995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0.58683</f>
        <v>0.58682999999999996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948.94098999999983</v>
      </c>
      <c r="G107" s="78">
        <f t="shared" si="9"/>
        <v>59232.111159999986</v>
      </c>
      <c r="H107" s="78">
        <f t="shared" si="9"/>
        <v>35736.888840000014</v>
      </c>
      <c r="I107" s="78">
        <f t="shared" si="9"/>
        <v>60312.299930000001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145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567.96659999999997</v>
      </c>
      <c r="G128" s="11">
        <f t="shared" si="10"/>
        <v>37104.772720000001</v>
      </c>
      <c r="H128" s="11">
        <f t="shared" si="10"/>
        <v>33436.227279999999</v>
      </c>
      <c r="I128" s="11">
        <f t="shared" si="10"/>
        <v>36157.210910000002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567.9666</f>
        <v>567.96659999999997</v>
      </c>
      <c r="G129" s="23">
        <f>32555.16914</f>
        <v>32555.169140000002</v>
      </c>
      <c r="H129" s="23">
        <f>E129-G129</f>
        <v>23536.830859999998</v>
      </c>
      <c r="I129" s="23">
        <f>30419.10525</f>
        <v>30419.105250000001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4549.60358</f>
        <v>4549.60358</v>
      </c>
      <c r="H130" s="23">
        <f>E130-G130</f>
        <v>9399.3964200000009</v>
      </c>
      <c r="I130" s="23">
        <f>5738.10566</f>
        <v>5738.1056600000002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3350.1867</f>
        <v>3350.1867000000002</v>
      </c>
      <c r="G132" s="97">
        <f>16944.99679+1607.343775</f>
        <v>18552.340565000002</v>
      </c>
      <c r="H132" s="97">
        <f>E132-G132</f>
        <v>30619.659434999998</v>
      </c>
      <c r="I132" s="97">
        <f>19153.55704</f>
        <v>19153.55704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510.47478000000001</v>
      </c>
      <c r="G133" s="96">
        <f t="shared" ref="G133" si="11">G134+G139+G142</f>
        <v>44826.657925</v>
      </c>
      <c r="H133" s="96">
        <f>H134+H139+H142</f>
        <v>36113.342075</v>
      </c>
      <c r="I133" s="96">
        <f>I134+I139+I142</f>
        <v>42667.852739999995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338.73725999999999</v>
      </c>
      <c r="G134" s="127">
        <f>G135+G136+G138+G137</f>
        <v>34908.691664999998</v>
      </c>
      <c r="H134" s="127">
        <f>H135+H136+H137+H138</f>
        <v>24595.308334999998</v>
      </c>
      <c r="I134" s="127">
        <f>I135+I136+I137+I138</f>
        <v>33419.527040000001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70.82447</f>
        <v>70.824470000000005</v>
      </c>
      <c r="G135" s="129">
        <v>5805.8624</v>
      </c>
      <c r="H135" s="129">
        <f>E135-G135</f>
        <v>11698.1376</v>
      </c>
      <c r="I135" s="129">
        <f>4855.69235</f>
        <v>4855.6923500000003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23.88869</f>
        <v>23.88869</v>
      </c>
      <c r="G136" s="129">
        <v>10087.64321</v>
      </c>
      <c r="H136" s="129">
        <f>E136-G136</f>
        <v>4996.3567899999998</v>
      </c>
      <c r="I136" s="129">
        <f>8084.13753</f>
        <v>8084.13753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239.2578</f>
        <v>239.2578</v>
      </c>
      <c r="G137" s="129">
        <v>9709.4508100000003</v>
      </c>
      <c r="H137" s="129">
        <f>E137-G137</f>
        <v>5313.5491899999997</v>
      </c>
      <c r="I137" s="129">
        <f>10343.88609</f>
        <v>10343.88609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4.7663</f>
        <v>4.7663000000000002</v>
      </c>
      <c r="G138" s="129">
        <v>9305.7352449999998</v>
      </c>
      <c r="H138" s="129">
        <f>E138-G138</f>
        <v>2587.2647550000002</v>
      </c>
      <c r="I138" s="129">
        <f>10135.81107</f>
        <v>10135.81107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14.0329</v>
      </c>
      <c r="G139" s="134">
        <f>SUM(G140:G141)</f>
        <v>6362.0937899999999</v>
      </c>
      <c r="H139" s="134">
        <f>H140+H141</f>
        <v>3069.9062100000001</v>
      </c>
      <c r="I139" s="134">
        <f>SUM(I140:I141)</f>
        <v>5860.0231599999997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13.5289</f>
        <v>13.5289</v>
      </c>
      <c r="G140" s="129">
        <f>6231.02921</f>
        <v>6231.0292099999997</v>
      </c>
      <c r="H140" s="129">
        <f t="shared" ref="H140:H147" si="12">E140-G140</f>
        <v>2700.9707900000003</v>
      </c>
      <c r="I140" s="129">
        <f>5743.74152</f>
        <v>5743.7415199999996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0.504</f>
        <v>0.504</v>
      </c>
      <c r="G141" s="129">
        <f>131.06458</f>
        <v>131.06458000000001</v>
      </c>
      <c r="H141" s="129">
        <f t="shared" si="12"/>
        <v>368.93542000000002</v>
      </c>
      <c r="I141" s="129">
        <f>116.28164</f>
        <v>116.28164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157.70462</f>
        <v>157.70462000000001</v>
      </c>
      <c r="G142" s="77">
        <f>3555.87247</f>
        <v>3555.8724699999998</v>
      </c>
      <c r="H142" s="77">
        <f t="shared" si="12"/>
        <v>8448.1275299999998</v>
      </c>
      <c r="I142" s="77">
        <f>3388.30254</f>
        <v>3388.3025400000001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30.361</f>
        <v>30.361000000000001</v>
      </c>
      <c r="H143" s="141">
        <f t="shared" si="12"/>
        <v>106.639</v>
      </c>
      <c r="I143" s="141">
        <f>21.55052</f>
        <v>21.550519999999999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2"/>
        <v>-12.581000000000017</v>
      </c>
      <c r="I144" s="100">
        <f>225.678</f>
        <v>225.678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19.47438</f>
        <v>19.47438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4448.1024600000001</v>
      </c>
      <c r="G150" s="78">
        <f>G128+G132+G133+G143+G144+G145+G146+G147+G148</f>
        <v>102776.71321000002</v>
      </c>
      <c r="H150" s="78">
        <f>H128+H132+H133+H143+H144+H145+H146+H147+H148</f>
        <v>100458.28678999998</v>
      </c>
      <c r="I150" s="78">
        <f>I128+I132+I133+I143+I144+I145+I146+I147+I148</f>
        <v>100225.84921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147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146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31.20661</f>
        <v>31.206610000000001</v>
      </c>
      <c r="F175" s="274">
        <f>922.82368</f>
        <v>922.82367999999997</v>
      </c>
      <c r="G175" s="45">
        <f>D175-F175-F176</f>
        <v>3233.8281900000002</v>
      </c>
      <c r="H175" s="274">
        <f>583.59407</f>
        <v>583.59406999999999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142.36431</f>
        <v>142.36430999999999</v>
      </c>
      <c r="F176" s="154">
        <f>831.34813</f>
        <v>831.34812999999997</v>
      </c>
      <c r="G176" s="215"/>
      <c r="H176" s="154">
        <f>965.51494</f>
        <v>965.51494000000002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55.41002</f>
        <v>55.410020000000003</v>
      </c>
      <c r="G177" s="174">
        <f>D177-F177</f>
        <v>144.58998</v>
      </c>
      <c r="H177" s="174">
        <f>48.95794</f>
        <v>48.957940000000001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549.62008000000003</v>
      </c>
      <c r="F178" s="183">
        <f>F179+F180+F181</f>
        <v>4768.9483499999997</v>
      </c>
      <c r="G178" s="183">
        <f>D178-F178</f>
        <v>2712.0516500000003</v>
      </c>
      <c r="H178" s="183">
        <f>H179+H180+H181</f>
        <v>4779.8954599999997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242.79936</f>
        <v>242.79936000000001</v>
      </c>
      <c r="F179" s="129">
        <f>2238.68407</f>
        <v>2238.6840699999998</v>
      </c>
      <c r="G179" s="129"/>
      <c r="H179" s="129">
        <f>2388.28874</f>
        <v>2388.28874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195.51114</f>
        <v>195.51114000000001</v>
      </c>
      <c r="F180" s="129">
        <f>1576.83084</f>
        <v>1576.8308400000001</v>
      </c>
      <c r="G180" s="129"/>
      <c r="H180" s="129">
        <f>1482.35639</f>
        <v>1482.3563899999999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111.30958</f>
        <v>111.30958</v>
      </c>
      <c r="F181" s="194">
        <f>953.43344</f>
        <v>953.43344000000002</v>
      </c>
      <c r="G181" s="194"/>
      <c r="H181" s="194">
        <f>909.25033</f>
        <v>909.25032999999996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723.19100000000003</v>
      </c>
      <c r="F184" s="196">
        <f>F175+F176+F177+F178+F182+F183</f>
        <v>6578.5301799999997</v>
      </c>
      <c r="G184" s="196">
        <f>D184-F184</f>
        <v>6156.4698200000003</v>
      </c>
      <c r="H184" s="196">
        <f>H175+H176+H177+H178+H182+H183</f>
        <v>6377.9624100000001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3557.65384</f>
        <v>3557.6538399999999</v>
      </c>
      <c r="F204" s="124">
        <f>34542.62336</f>
        <v>34542.623359999998</v>
      </c>
      <c r="G204" s="124">
        <f>D204-F204</f>
        <v>9296.3766400000022</v>
      </c>
      <c r="H204" s="124">
        <f>21284.58809</f>
        <v>21284.588090000001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0.91296</f>
        <v>0.91295999999999999</v>
      </c>
      <c r="F205" s="124">
        <f>16.46675</f>
        <v>16.466750000000001</v>
      </c>
      <c r="G205" s="124">
        <f>D205-F205</f>
        <v>83.533249999999995</v>
      </c>
      <c r="H205" s="124">
        <f>21.38755</f>
        <v>21.387550000000001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3558.5668000000001</v>
      </c>
      <c r="F207" s="190">
        <f>SUM(F204:F206)</f>
        <v>34559.090109999997</v>
      </c>
      <c r="G207" s="190">
        <f>D207-F207</f>
        <v>9421.9098900000026</v>
      </c>
      <c r="H207" s="190">
        <f>SUM(H204:H206)</f>
        <v>21305.975640000001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140</v>
      </c>
      <c r="F257" s="68" t="s">
        <v>141</v>
      </c>
      <c r="G257" s="68" t="s">
        <v>142</v>
      </c>
      <c r="H257" s="68" t="s">
        <v>143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14.92996</f>
        <v>14.929959999999999</v>
      </c>
      <c r="F258" s="124">
        <f>249.49617</f>
        <v>249.49617000000001</v>
      </c>
      <c r="G258" s="124">
        <f>D258-F258</f>
        <v>550.50382999999999</v>
      </c>
      <c r="H258" s="124">
        <f>156.65382</f>
        <v>156.65382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66.4544</f>
        <v>66.454400000000007</v>
      </c>
      <c r="F259" s="124">
        <f>698.69588</f>
        <v>698.69587999999999</v>
      </c>
      <c r="G259" s="124">
        <f>D259-F259</f>
        <v>1795.30412</v>
      </c>
      <c r="H259" s="124">
        <f>495.37827</f>
        <v>495.37826999999999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0.00354</f>
        <v>3.5400000000000002E-3</v>
      </c>
      <c r="F260" s="168">
        <f>0.63874</f>
        <v>0.63873999999999997</v>
      </c>
      <c r="G260" s="124">
        <f>D260-F260</f>
        <v>4.3612599999999997</v>
      </c>
      <c r="H260" s="168">
        <f>0.9169</f>
        <v>0.91690000000000005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0.00711</f>
        <v>7.11E-3</v>
      </c>
      <c r="F261" s="168">
        <f>1.64935</f>
        <v>1.6493500000000001</v>
      </c>
      <c r="G261" s="124"/>
      <c r="H261" s="168">
        <f>3.1181</f>
        <v>3.1181000000000001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81.395009999999999</v>
      </c>
      <c r="F262" s="190">
        <f>SUM(F258:F261)</f>
        <v>950.48014000000001</v>
      </c>
      <c r="G262" s="190">
        <f>D262-F262</f>
        <v>2348.5198599999999</v>
      </c>
      <c r="H262" s="190">
        <f>H258+H259+H260+H261</f>
        <v>656.06709000000001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140</v>
      </c>
      <c r="G287" s="221" t="s">
        <v>141</v>
      </c>
      <c r="H287" s="221" t="s">
        <v>142</v>
      </c>
      <c r="I287" s="221" t="s">
        <v>143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217.68335999999999</v>
      </c>
      <c r="G288" s="251">
        <f t="shared" si="14"/>
        <v>5081.3019999999997</v>
      </c>
      <c r="H288" s="251">
        <f>H292+H291+H290+H289</f>
        <v>11020.698</v>
      </c>
      <c r="I288" s="251">
        <f t="shared" si="14"/>
        <v>2886.08068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2008.18667</f>
        <v>2008.18667</v>
      </c>
      <c r="H289" s="255">
        <f t="shared" ref="H289:H293" si="15">E289-G289</f>
        <v>6168.81333</v>
      </c>
      <c r="I289" s="255">
        <f>1302.50178</f>
        <v>1302.5017800000001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806.0337</f>
        <v>806.03369999999995</v>
      </c>
      <c r="H290" s="255">
        <f t="shared" si="15"/>
        <v>1321.9663</v>
      </c>
      <c r="I290" s="255">
        <f>490.4118</f>
        <v>490.41180000000003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51.88596</f>
        <v>51.885959999999997</v>
      </c>
      <c r="G291" s="255">
        <f>1285.97353</f>
        <v>1285.97353</v>
      </c>
      <c r="H291" s="255">
        <f t="shared" si="15"/>
        <v>71.026470000000018</v>
      </c>
      <c r="I291" s="255">
        <f>918.0535</f>
        <v>918.05349999999999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165.7974</f>
        <v>165.79740000000001</v>
      </c>
      <c r="G292" s="255">
        <f>981.1081</f>
        <v>981.10810000000004</v>
      </c>
      <c r="H292" s="255">
        <f t="shared" si="15"/>
        <v>3458.8919000000001</v>
      </c>
      <c r="I292" s="255">
        <f>175.1136</f>
        <v>175.11359999999999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105.52296</f>
        <v>105.52296</v>
      </c>
      <c r="G293" s="266">
        <f>4644.82906</f>
        <v>4644.82906</v>
      </c>
      <c r="H293" s="266">
        <f t="shared" si="15"/>
        <v>855.17093999999997</v>
      </c>
      <c r="I293" s="266">
        <f>4422.61028</f>
        <v>4422.6102799999999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154.65215000000001</v>
      </c>
      <c r="G294" s="267">
        <f>G296+G295</f>
        <v>1969.94929</v>
      </c>
      <c r="H294" s="267">
        <f>E294-G294</f>
        <v>6030.0507099999995</v>
      </c>
      <c r="I294" s="267">
        <f>I296+I295</f>
        <v>1732.7483200000001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748.37361</f>
        <v>748.37360999999999</v>
      </c>
      <c r="H295" s="255"/>
      <c r="I295" s="255">
        <f>898.40129</f>
        <v>898.40129000000002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154.65215</f>
        <v>154.65215000000001</v>
      </c>
      <c r="G296" s="276">
        <f>1221.57568</f>
        <v>1221.5756799999999</v>
      </c>
      <c r="H296" s="276"/>
      <c r="I296" s="276">
        <f>834.34703</f>
        <v>834.34703000000002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0.0084</f>
        <v>8.3999999999999995E-3</v>
      </c>
      <c r="G297" s="266">
        <f>0.0735</f>
        <v>7.3499999999999996E-2</v>
      </c>
      <c r="H297" s="266">
        <f>E297-G297</f>
        <v>9.9265000000000008</v>
      </c>
      <c r="I297" s="266">
        <f>0.1593</f>
        <v>0.1593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0.56296</f>
        <v>0.56296000000000002</v>
      </c>
      <c r="G298" s="266">
        <f>29.70144</f>
        <v>29.701440000000002</v>
      </c>
      <c r="H298" s="266">
        <f>E298-G298</f>
        <v>-29.701440000000002</v>
      </c>
      <c r="I298" s="266">
        <f>59.63567</f>
        <v>59.635669999999998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478.42982999999998</v>
      </c>
      <c r="G299" s="285">
        <f t="shared" si="16"/>
        <v>11725.855290000001</v>
      </c>
      <c r="H299" s="285">
        <f>H288+H293+H294+H297+H298</f>
        <v>17886.14471</v>
      </c>
      <c r="I299" s="285">
        <f t="shared" si="16"/>
        <v>9101.2342499999995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140</v>
      </c>
      <c r="F320" s="20" t="s">
        <v>141</v>
      </c>
      <c r="G320" s="25" t="s">
        <v>142</v>
      </c>
      <c r="H320" s="20" t="s">
        <v>143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0</v>
      </c>
      <c r="F321" s="26">
        <f>F323+F322</f>
        <v>2196.6561299999998</v>
      </c>
      <c r="G321" s="87">
        <f>D321-F321</f>
        <v>44.343870000000152</v>
      </c>
      <c r="H321" s="26">
        <f>SUM(H322:H323)</f>
        <v>1387.8243299999999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0</f>
        <v>0</v>
      </c>
      <c r="F322" s="207">
        <f>1713.27513</f>
        <v>1713.27513</v>
      </c>
      <c r="G322" s="208"/>
      <c r="H322" s="207">
        <f>1082.54115</f>
        <v>1082.54115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0</f>
        <v>0</v>
      </c>
      <c r="F323" s="210">
        <f>483.381</f>
        <v>483.38099999999997</v>
      </c>
      <c r="G323" s="211"/>
      <c r="H323" s="210">
        <f>305.28318</f>
        <v>305.28318000000002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83.335100000000011</v>
      </c>
      <c r="F324" s="26">
        <f>SUM(F325:F326)</f>
        <v>679.04048999999998</v>
      </c>
      <c r="G324" s="87">
        <f>D324-F324</f>
        <v>440.95951000000002</v>
      </c>
      <c r="H324" s="26">
        <f>SUM(H325:H326)</f>
        <v>583.33452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64.355</f>
        <v>64.355000000000004</v>
      </c>
      <c r="F325" s="30">
        <f>516.557</f>
        <v>516.55700000000002</v>
      </c>
      <c r="G325" s="99"/>
      <c r="H325" s="30">
        <f>449.21075</f>
        <v>449.21075000000002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18.9801</f>
        <v>18.9801</v>
      </c>
      <c r="F326" s="30">
        <f>162.48349</f>
        <v>162.48348999999999</v>
      </c>
      <c r="G326" s="110"/>
      <c r="H326" s="30">
        <f>134.12377</f>
        <v>134.12377000000001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83.335100000000011</v>
      </c>
      <c r="F331" s="42">
        <f>F321+F324+F327+F330</f>
        <v>2875.6966199999997</v>
      </c>
      <c r="G331" s="43">
        <f>SUM(G321:G330)</f>
        <v>485.30338000000017</v>
      </c>
      <c r="H331" s="42">
        <f>H321+H324+H327+H330</f>
        <v>1971.1588499999998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24&amp;R19.06.2023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2023-06-19T07:28:13Z</dcterms:modified>
</cp:coreProperties>
</file>