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A7A10991-15E2-4F55-B8B8-7BAE9A216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G61" i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H389" i="1"/>
  <c r="G389" i="1"/>
  <c r="F389" i="1"/>
  <c r="I388" i="1"/>
  <c r="I386" i="1" s="1"/>
  <c r="I391" i="1" s="1"/>
  <c r="G388" i="1"/>
  <c r="F388" i="1"/>
  <c r="I387" i="1"/>
  <c r="G387" i="1"/>
  <c r="F387" i="1"/>
  <c r="F386" i="1" s="1"/>
  <c r="G386" i="1"/>
  <c r="H386" i="1" s="1"/>
  <c r="I385" i="1"/>
  <c r="H385" i="1"/>
  <c r="G385" i="1"/>
  <c r="F385" i="1"/>
  <c r="I384" i="1"/>
  <c r="G384" i="1"/>
  <c r="H384" i="1" s="1"/>
  <c r="F384" i="1"/>
  <c r="I383" i="1"/>
  <c r="H383" i="1"/>
  <c r="G383" i="1"/>
  <c r="F383" i="1"/>
  <c r="F380" i="1" s="1"/>
  <c r="F391" i="1" s="1"/>
  <c r="I382" i="1"/>
  <c r="G382" i="1"/>
  <c r="H382" i="1" s="1"/>
  <c r="F382" i="1"/>
  <c r="I381" i="1"/>
  <c r="H381" i="1"/>
  <c r="G381" i="1"/>
  <c r="F381" i="1"/>
  <c r="I380" i="1"/>
  <c r="G380" i="1"/>
  <c r="G391" i="1" s="1"/>
  <c r="D380" i="1"/>
  <c r="D391" i="1" s="1"/>
  <c r="H372" i="1"/>
  <c r="F372" i="1"/>
  <c r="H354" i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E354" i="1" s="1"/>
  <c r="H350" i="1"/>
  <c r="F350" i="1"/>
  <c r="F354" i="1" s="1"/>
  <c r="E350" i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E184" i="1" s="1"/>
  <c r="H177" i="1"/>
  <c r="G177" i="1"/>
  <c r="F177" i="1"/>
  <c r="E177" i="1"/>
  <c r="H176" i="1"/>
  <c r="F176" i="1"/>
  <c r="E176" i="1"/>
  <c r="H175" i="1"/>
  <c r="F175" i="1"/>
  <c r="E175" i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G133" i="1" s="1"/>
  <c r="E134" i="1"/>
  <c r="D134" i="1"/>
  <c r="D133" i="1" s="1"/>
  <c r="D150" i="1" s="1"/>
  <c r="E133" i="1"/>
  <c r="E150" i="1" s="1"/>
  <c r="I132" i="1"/>
  <c r="F132" i="1"/>
  <c r="I131" i="1"/>
  <c r="G131" i="1"/>
  <c r="H131" i="1" s="1"/>
  <c r="F131" i="1"/>
  <c r="I130" i="1"/>
  <c r="H130" i="1"/>
  <c r="G130" i="1"/>
  <c r="F130" i="1"/>
  <c r="F128" i="1" s="1"/>
  <c r="F150" i="1" s="1"/>
  <c r="I129" i="1"/>
  <c r="I128" i="1" s="1"/>
  <c r="I150" i="1" s="1"/>
  <c r="G129" i="1"/>
  <c r="G128" i="1" s="1"/>
  <c r="F129" i="1"/>
  <c r="E128" i="1"/>
  <c r="D128" i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H97" i="1" s="1"/>
  <c r="F97" i="1"/>
  <c r="F96" i="1" s="1"/>
  <c r="F95" i="1" s="1"/>
  <c r="E96" i="1"/>
  <c r="E95" i="1" s="1"/>
  <c r="E107" i="1" s="1"/>
  <c r="D96" i="1"/>
  <c r="D95" i="1"/>
  <c r="I94" i="1"/>
  <c r="I92" i="1" s="1"/>
  <c r="I107" i="1" s="1"/>
  <c r="G94" i="1"/>
  <c r="H94" i="1" s="1"/>
  <c r="H92" i="1" s="1"/>
  <c r="F94" i="1"/>
  <c r="I93" i="1"/>
  <c r="H93" i="1"/>
  <c r="G93" i="1"/>
  <c r="F93" i="1"/>
  <c r="G92" i="1"/>
  <c r="F92" i="1"/>
  <c r="E92" i="1"/>
  <c r="D92" i="1"/>
  <c r="D107" i="1" s="1"/>
  <c r="C89" i="1"/>
  <c r="H85" i="1"/>
  <c r="F85" i="1"/>
  <c r="D85" i="1"/>
  <c r="G60" i="1"/>
  <c r="H55" i="1"/>
  <c r="F55" i="1"/>
  <c r="G55" i="1" s="1"/>
  <c r="E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G35" i="1"/>
  <c r="G34" i="1" s="1"/>
  <c r="F35" i="1"/>
  <c r="F34" i="1" s="1"/>
  <c r="E35" i="1"/>
  <c r="D34" i="1"/>
  <c r="I33" i="1"/>
  <c r="H33" i="1"/>
  <c r="G33" i="1"/>
  <c r="F33" i="1"/>
  <c r="I32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F27" i="1" s="1"/>
  <c r="I28" i="1"/>
  <c r="G28" i="1"/>
  <c r="F28" i="1"/>
  <c r="E27" i="1"/>
  <c r="D27" i="1"/>
  <c r="E26" i="1"/>
  <c r="D26" i="1"/>
  <c r="D44" i="1" s="1"/>
  <c r="I25" i="1"/>
  <c r="H25" i="1"/>
  <c r="H23" i="1" s="1"/>
  <c r="G25" i="1"/>
  <c r="F25" i="1"/>
  <c r="I24" i="1"/>
  <c r="I23" i="1" s="1"/>
  <c r="H24" i="1"/>
  <c r="G24" i="1"/>
  <c r="F24" i="1"/>
  <c r="F23" i="1" s="1"/>
  <c r="G23" i="1"/>
  <c r="E23" i="1"/>
  <c r="E44" i="1" s="1"/>
  <c r="D23" i="1"/>
  <c r="H16" i="1"/>
  <c r="F16" i="1"/>
  <c r="D16" i="1"/>
  <c r="H134" i="1" l="1"/>
  <c r="H133" i="1" s="1"/>
  <c r="G150" i="1"/>
  <c r="I27" i="1"/>
  <c r="G27" i="1"/>
  <c r="G32" i="1"/>
  <c r="H32" i="1" s="1"/>
  <c r="H28" i="1"/>
  <c r="H35" i="1"/>
  <c r="G249" i="1"/>
  <c r="F253" i="1"/>
  <c r="G253" i="1" s="1"/>
  <c r="H96" i="1"/>
  <c r="H95" i="1" s="1"/>
  <c r="I26" i="1"/>
  <c r="I44" i="1" s="1"/>
  <c r="F299" i="1"/>
  <c r="G295" i="1"/>
  <c r="H107" i="1"/>
  <c r="F26" i="1"/>
  <c r="F107" i="1"/>
  <c r="G299" i="1"/>
  <c r="F44" i="1"/>
  <c r="H34" i="1"/>
  <c r="G26" i="1"/>
  <c r="G44" i="1" s="1"/>
  <c r="F184" i="1"/>
  <c r="G184" i="1" s="1"/>
  <c r="F423" i="1"/>
  <c r="G413" i="1"/>
  <c r="H184" i="1"/>
  <c r="H380" i="1"/>
  <c r="H391" i="1" s="1"/>
  <c r="G423" i="1"/>
  <c r="G96" i="1"/>
  <c r="G95" i="1" s="1"/>
  <c r="G107" i="1" s="1"/>
  <c r="H129" i="1"/>
  <c r="H128" i="1" s="1"/>
  <c r="G350" i="1"/>
  <c r="G175" i="1"/>
  <c r="H150" i="1" l="1"/>
  <c r="H27" i="1"/>
  <c r="H26" i="1" s="1"/>
  <c r="H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<sst xmlns="http://schemas.openxmlformats.org/spreadsheetml/2006/main" count="359" uniqueCount="151">
  <si>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</si>
  <si>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</si>
  <si>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</si>
  <si>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</si>
  <si>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</si>
  <si>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</si>
  <si>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</si>
  <si>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</si>
  <si>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</si>
  <si>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</si>
  <si>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</si>
  <si>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</si>
  <si>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</si>
  <si>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</si>
  <si>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</si>
  <si>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</si>
  <si>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</si>
  <si>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</si>
  <si>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</si>
  <si>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</si>
  <si>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</si>
  <si>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</si>
  <si>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</si>
  <si>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</si>
  <si>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</si>
  <si>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</si>
  <si>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</si>
  <si>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</si>
  <si>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</si>
  <si>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</si>
  <si>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</si>
  <si>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</si>
  <si>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</si>
  <si>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</si>
  <si>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</si>
  <si>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</si>
  <si>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</si>
  <si>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</si>
  <si>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</si>
  <si>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</si>
  <si>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</si>
  <si>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</si>
  <si>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</si>
  <si>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</si>
  <si>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</si>
  <si>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</si>
  <si>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</si>
  <si>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</si>
  <si>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</si>
  <si>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</si>
  <si>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</si>
  <si>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</si>
  <si>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</si>
  <si>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</si>
  <si>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</si>
  <si>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</si>
  <si>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</si>
  <si>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</si>
  <si>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</si>
  <si>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</si>
  <si>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</si>
  <si>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</si>
  <si>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</si>
  <si>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</si>
  <si>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</si>
  <si>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</si>
  <si>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</si>
  <si>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</si>
  <si>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</si>
  <si>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</si>
  <si>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</si>
  <si>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</si>
  <si>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</si>
  <si>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</si>
  <si>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</si>
  <si>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</si>
  <si>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</si>
  <si>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</si>
  <si>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</si>
  <si>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</si>
  <si>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</si>
  <si>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</si>
  <si>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</si>
  <si>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</si>
  <si>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</si>
  <si>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</si>
  <si>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</si>
  <si>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</si>
  <si>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</si>
  <si>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</si>
  <si>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</si>
  <si>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</si>
  <si>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</si>
  <si>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</si>
  <si>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</si>
  <si>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</si>
  <si>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</si>
  <si>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</si>
  <si>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</si>
  <si>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</si>
  <si>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</si>
  <si>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</si>
  <si>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</si>
  <si>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</si>
  <si>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</si>
  <si>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</si>
  <si>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</si>
  <si>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</si>
  <si>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</si>
  <si>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</si>
  <si>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</si>
  <si>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</si>
  <si>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</si>
  <si>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</si>
  <si>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</si>
  <si>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</si>
  <si>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</si>
  <si>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</si>
  <si>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</si>
  <si>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</si>
  <si>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</si>
  <si>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</si>
  <si>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</si>
  <si>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</si>
  <si>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</si>
  <si>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</si>
  <si>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</si>
  <si>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</si>
  <si>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</si>
  <si>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</si>
  <si>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</si>
  <si>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</si>
  <si>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</si>
  <si>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</si>
  <si>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</si>
  <si>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</si>
  <si>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</si>
  <si>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</si>
  <si>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</si>
  <si>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</si>
  <si>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</si>
  <si>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</si>
  <si>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</si>
  <si>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60 tonn, men det legges til grunn at hele avsetningen tas</t>
  </si>
  <si>
    <t>4 Registrert rekreasjonsfiske utgjør 483 tonn, men det legges til grunn at hele avsetningen tas</t>
  </si>
  <si>
    <t>3 Registrert rekreasjonsfiske utgjør 861 tonn, men det legges til grunn at hele avsetningen tas</t>
  </si>
  <si>
    <t>FANGST UKE 37</t>
  </si>
  <si>
    <t>FANGST T.O.M UKE 37</t>
  </si>
  <si>
    <t>RESTKVOTER UKE 37</t>
  </si>
  <si>
    <t>FANGST T.O.M UKE 37 2023</t>
  </si>
  <si>
    <r>
      <t>3</t>
    </r>
    <r>
      <rPr>
        <sz val="9"/>
        <color indexed="8"/>
        <rFont val="Calibri"/>
        <family val="2"/>
      </rPr>
      <t xml:space="preserve"> Det er fisket 5 165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</si>
</sst>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E20" sqref="E2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3" t="s">
        <v>120</v>
      </c>
      <c r="C2" s="304"/>
      <c r="D2" s="304"/>
      <c r="E2" s="304"/>
      <c r="F2" s="304"/>
      <c r="G2" s="304"/>
      <c r="H2" s="304"/>
      <c r="I2" s="304"/>
      <c r="J2" s="305"/>
    </row>
    <row r="3" spans="1:10" ht="14.85" customHeight="1" x14ac:dyDescent="0.2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25">
      <c r="A17" s="101"/>
      <c r="B17" s="24"/>
      <c r="C17" s="302" t="s">
        <v>139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466.31324999999998</v>
      </c>
      <c r="G23" s="28">
        <f t="shared" si="0"/>
        <v>39205.845560000002</v>
      </c>
      <c r="H23" s="11">
        <f t="shared" si="0"/>
        <v>21606.154439999998</v>
      </c>
      <c r="I23" s="11">
        <f t="shared" si="0"/>
        <v>56477.258760000004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61689</v>
      </c>
      <c r="E24" s="45">
        <v>60042</v>
      </c>
      <c r="F24" s="23">
        <f>466.27275</f>
        <v>466.27274999999997</v>
      </c>
      <c r="G24" s="23">
        <f>38677.24727</f>
        <v>38677.24727</v>
      </c>
      <c r="H24" s="23">
        <f>E24-G24</f>
        <v>21364.75273</v>
      </c>
      <c r="I24" s="23">
        <f>56077.11791</f>
        <v>56077.117910000001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770</v>
      </c>
      <c r="F25" s="171">
        <f>0.0405</f>
        <v>4.0500000000000001E-2</v>
      </c>
      <c r="G25" s="23">
        <f>528.59829</f>
        <v>528.59829000000002</v>
      </c>
      <c r="H25" s="23">
        <f>E25-G25</f>
        <v>241.40170999999998</v>
      </c>
      <c r="I25" s="23">
        <f>400.14085</f>
        <v>400.14085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324.64899999999994</v>
      </c>
      <c r="G26" s="11">
        <f t="shared" si="1"/>
        <v>124610.12307000002</v>
      </c>
      <c r="H26" s="11">
        <f t="shared" si="1"/>
        <v>20263.876929999995</v>
      </c>
      <c r="I26" s="11">
        <f t="shared" si="1"/>
        <v>174925.91011999999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284.51376999999997</v>
      </c>
      <c r="G27" s="132">
        <f t="shared" ref="G27:I27" si="2">G28+G29+G30+G31+G32</f>
        <v>101548.72189000002</v>
      </c>
      <c r="H27" s="132">
        <f t="shared" si="2"/>
        <v>11429.278109999996</v>
      </c>
      <c r="I27" s="132">
        <f t="shared" si="2"/>
        <v>138794.45650999999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59.89926</f>
        <v>59.899259999999998</v>
      </c>
      <c r="G28" s="127">
        <f>26414.98082 - F56</f>
        <v>25796.980820000001</v>
      </c>
      <c r="H28" s="127">
        <f t="shared" ref="H28:H40" si="3">E28-G28</f>
        <v>2833.0191799999993</v>
      </c>
      <c r="I28" s="127">
        <f>37134.57058 - H56</f>
        <v>36412.57058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141.2557</f>
        <v>141.25569999999999</v>
      </c>
      <c r="G29" s="127">
        <f>28540.70905 - F57</f>
        <v>27598.709050000001</v>
      </c>
      <c r="H29" s="127">
        <f t="shared" si="3"/>
        <v>2066.2909499999987</v>
      </c>
      <c r="I29" s="127">
        <f>39273.50869 - H57</f>
        <v>37671.508690000002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18.88007</f>
        <v>18.88007</v>
      </c>
      <c r="G30" s="127">
        <f>26809.50325 - F58</f>
        <v>25672.503250000002</v>
      </c>
      <c r="H30" s="127">
        <f t="shared" si="3"/>
        <v>1571.4967499999984</v>
      </c>
      <c r="I30" s="127">
        <f>37242.16807 - H58</f>
        <v>34878.16807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64.47874</f>
        <v>64.478740000000002</v>
      </c>
      <c r="G31" s="127">
        <f>19783.52877 - F59</f>
        <v>18828.528770000001</v>
      </c>
      <c r="H31" s="127">
        <f t="shared" si="3"/>
        <v>510.4712299999992</v>
      </c>
      <c r="I31" s="127">
        <f>25144.20917 - H59</f>
        <v>24016.209169999998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3652</v>
      </c>
      <c r="H32" s="127">
        <f t="shared" si="3"/>
        <v>4448</v>
      </c>
      <c r="I32" s="127">
        <f>H55</f>
        <v>5816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0.22774</f>
        <v>0.22774</v>
      </c>
      <c r="G33" s="132">
        <f>10999.95338</f>
        <v>10999.953380000001</v>
      </c>
      <c r="H33" s="132">
        <f t="shared" si="3"/>
        <v>5859.0466199999992</v>
      </c>
      <c r="I33" s="132">
        <f>15858.33351</f>
        <v>15858.33351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39.907490000000003</v>
      </c>
      <c r="G34" s="132">
        <f>G35+G36</f>
        <v>12061.4478</v>
      </c>
      <c r="H34" s="132">
        <f t="shared" si="3"/>
        <v>2975.5522000000001</v>
      </c>
      <c r="I34" s="132">
        <f>I35+I36</f>
        <v>20273.1201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39.90749</f>
        <v>39.907490000000003</v>
      </c>
      <c r="G35" s="132">
        <f>14875.4478 - F60 - F61</f>
        <v>11648.4478</v>
      </c>
      <c r="H35" s="127">
        <f t="shared" si="3"/>
        <v>2428.5522000000001</v>
      </c>
      <c r="I35" s="127">
        <f>24654.1201 - H60 - H61</f>
        <v>19742.1201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413</v>
      </c>
      <c r="H36" s="71">
        <f t="shared" si="3"/>
        <v>547</v>
      </c>
      <c r="I36" s="71">
        <f>H60</f>
        <v>531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472.67923</f>
        <v>472.67923000000002</v>
      </c>
      <c r="H38" s="98">
        <f t="shared" si="3"/>
        <v>382.32076999999998</v>
      </c>
      <c r="I38" s="98">
        <f>490.34022</f>
        <v>490.34021999999999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E61</f>
        <v>0</v>
      </c>
      <c r="G39" s="98">
        <f>F61</f>
        <v>2814</v>
      </c>
      <c r="H39" s="98">
        <f t="shared" si="3"/>
        <v>186</v>
      </c>
      <c r="I39" s="98">
        <f>H61</f>
        <v>4381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0.3305</f>
        <v>0.33050000000000002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400</v>
      </c>
      <c r="E41" s="143">
        <v>400</v>
      </c>
      <c r="F41" s="98">
        <f>1.14706</f>
        <v>1.14706</v>
      </c>
      <c r="G41" s="98">
        <f>338.10592</f>
        <v>338.10592000000003</v>
      </c>
      <c r="H41" s="98">
        <f>E41-G41</f>
        <v>61.894079999999974</v>
      </c>
      <c r="I41" s="98">
        <f>355.34735</f>
        <v>355.34735000000001</v>
      </c>
      <c r="J41" s="244"/>
    </row>
    <row r="42" spans="1:13" ht="17.25" customHeight="1" x14ac:dyDescent="0.2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1.06259</f>
        <v>1.0625899999999999</v>
      </c>
      <c r="G43" s="139">
        <f>102.73987</f>
        <v>102.73987</v>
      </c>
      <c r="H43" s="139">
        <f t="shared" ref="H43" si="4">E43-G43</f>
        <v>-102.73987</v>
      </c>
      <c r="I43" s="139">
        <f>107.06692</f>
        <v>107.06692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793.50239999999997</v>
      </c>
      <c r="G44" s="76">
        <f t="shared" si="5"/>
        <v>174891.85885000002</v>
      </c>
      <c r="H44" s="76">
        <f t="shared" si="5"/>
        <v>44149.141149999996</v>
      </c>
      <c r="I44" s="76">
        <f t="shared" si="5"/>
        <v>244483.71497</v>
      </c>
      <c r="J44" s="244"/>
    </row>
    <row r="45" spans="1:13" ht="14.1" customHeight="1" x14ac:dyDescent="0.2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146</v>
      </c>
      <c r="F54" s="68" t="s">
        <v>147</v>
      </c>
      <c r="G54" s="68" t="s">
        <v>148</v>
      </c>
      <c r="H54" s="68" t="s">
        <v>149</v>
      </c>
      <c r="I54" s="258"/>
      <c r="J54" s="244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3652</v>
      </c>
      <c r="G55" s="295">
        <f>D55-F55</f>
        <v>4220</v>
      </c>
      <c r="H55" s="11">
        <f>H59+H58+H57+H56</f>
        <v>5816</v>
      </c>
      <c r="I55" s="258"/>
      <c r="J55" s="244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>
        <v>618</v>
      </c>
      <c r="G56" s="296"/>
      <c r="H56" s="127">
        <v>722</v>
      </c>
      <c r="I56" s="258"/>
      <c r="J56" s="244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>
        <v>942</v>
      </c>
      <c r="G57" s="296"/>
      <c r="H57" s="127">
        <v>1602</v>
      </c>
      <c r="I57" s="258"/>
      <c r="J57" s="244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>
        <v>1137</v>
      </c>
      <c r="G58" s="296"/>
      <c r="H58" s="127">
        <v>2364</v>
      </c>
      <c r="I58" s="258"/>
      <c r="J58" s="244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>
        <v>955</v>
      </c>
      <c r="G59" s="297"/>
      <c r="H59" s="192">
        <v>1128</v>
      </c>
      <c r="I59" s="258"/>
      <c r="J59" s="244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/>
      <c r="F60" s="95">
        <v>413</v>
      </c>
      <c r="G60" s="95">
        <f>D60-F60</f>
        <v>547</v>
      </c>
      <c r="H60" s="95">
        <v>531</v>
      </c>
      <c r="I60" s="258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/>
      <c r="F61" s="139">
        <v>2814</v>
      </c>
      <c r="G61" s="139">
        <f>D61-F61</f>
        <v>186</v>
      </c>
      <c r="H61" s="139">
        <v>4381</v>
      </c>
      <c r="I61" s="258"/>
      <c r="J61" s="244"/>
    </row>
    <row r="62" spans="1:10" ht="14.1" customHeight="1" x14ac:dyDescent="0.2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8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2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2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20.643729999999998</v>
      </c>
      <c r="G92" s="11">
        <f t="shared" si="6"/>
        <v>23418.869849999999</v>
      </c>
      <c r="H92" s="11">
        <f t="shared" si="6"/>
        <v>2542.13015</v>
      </c>
      <c r="I92" s="11">
        <f t="shared" si="6"/>
        <v>39409.814139999995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25957</v>
      </c>
      <c r="E93" s="45">
        <v>25136</v>
      </c>
      <c r="F93" s="23">
        <f>20.43443</f>
        <v>20.434429999999999</v>
      </c>
      <c r="G93" s="23">
        <f>22626.8531</f>
        <v>22626.8531</v>
      </c>
      <c r="H93" s="23">
        <f>E93-G93</f>
        <v>2509.1468999999997</v>
      </c>
      <c r="I93" s="23">
        <f>38900.43975</f>
        <v>38900.439749999998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825</v>
      </c>
      <c r="F94" s="50">
        <f>0.2093</f>
        <v>0.20930000000000001</v>
      </c>
      <c r="G94" s="50">
        <f>792.01675</f>
        <v>792.01675</v>
      </c>
      <c r="H94" s="50">
        <f>E94-G94</f>
        <v>32.983249999999998</v>
      </c>
      <c r="I94" s="50">
        <f>509.37439</f>
        <v>509.37439000000001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278.13132999999999</v>
      </c>
      <c r="G95" s="11">
        <f t="shared" si="7"/>
        <v>39332.428690000001</v>
      </c>
      <c r="H95" s="11">
        <f t="shared" si="7"/>
        <v>9661.5713100000012</v>
      </c>
      <c r="I95" s="11">
        <f t="shared" si="7"/>
        <v>28294.297500000001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200.24176</v>
      </c>
      <c r="G96" s="132">
        <f t="shared" si="8"/>
        <v>31767.11276</v>
      </c>
      <c r="H96" s="132">
        <f t="shared" si="8"/>
        <v>5726.8872400000009</v>
      </c>
      <c r="I96" s="132">
        <f t="shared" si="8"/>
        <v>20596.629540000002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114.2046</f>
        <v>114.2046</v>
      </c>
      <c r="G97" s="127">
        <f>4880.6623</f>
        <v>4880.6623</v>
      </c>
      <c r="H97" s="127">
        <f t="shared" ref="H97:H104" si="9">E97-G97</f>
        <v>5134.3377</v>
      </c>
      <c r="I97" s="127">
        <f>3090.75557</f>
        <v>3090.7555699999998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42.84104</f>
        <v>42.84104</v>
      </c>
      <c r="G98" s="127">
        <f>10399.84845</f>
        <v>10399.84845</v>
      </c>
      <c r="H98" s="127">
        <f t="shared" si="9"/>
        <v>214.1515500000005</v>
      </c>
      <c r="I98" s="127">
        <f>6108.61562</f>
        <v>6108.6156199999996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3.42836</f>
        <v>3.4283600000000001</v>
      </c>
      <c r="G99" s="127">
        <f>9839.94154</f>
        <v>9839.9415399999998</v>
      </c>
      <c r="H99" s="127">
        <f t="shared" si="9"/>
        <v>272.0584600000002</v>
      </c>
      <c r="I99" s="127">
        <f>6292.83269</f>
        <v>6292.8326900000002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39.76776</f>
        <v>39.767760000000003</v>
      </c>
      <c r="G100" s="127">
        <f>6646.66047</f>
        <v>6646.6604699999998</v>
      </c>
      <c r="H100" s="127">
        <f t="shared" si="9"/>
        <v>106.3395300000002</v>
      </c>
      <c r="I100" s="127">
        <f>5104.42566</f>
        <v>5104.4256599999999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0.1539</f>
        <v>0.15390000000000001</v>
      </c>
      <c r="G101" s="132">
        <f>5367.01472</f>
        <v>5367.0147200000001</v>
      </c>
      <c r="H101" s="132">
        <f t="shared" si="9"/>
        <v>2228.9852799999999</v>
      </c>
      <c r="I101" s="132">
        <f>6168.27615</f>
        <v>6168.2761499999997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77.73567</f>
        <v>77.735669999999999</v>
      </c>
      <c r="G102" s="75">
        <f>2198.30121</f>
        <v>2198.3012100000001</v>
      </c>
      <c r="H102" s="75">
        <f t="shared" si="9"/>
        <v>1705.6987899999999</v>
      </c>
      <c r="I102" s="75">
        <f>1529.39181</f>
        <v>1529.3918100000001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36.10176</f>
        <v>36.101759999999999</v>
      </c>
      <c r="H103" s="98">
        <f t="shared" si="9"/>
        <v>282.89823999999999</v>
      </c>
      <c r="I103" s="98">
        <f>11.34443</f>
        <v>11.344429999999999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0.02569</f>
        <v>2.5690000000000001E-2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2.79271</f>
        <v>2.79271</v>
      </c>
      <c r="G105" s="98">
        <f>27.98255</f>
        <v>27.98255</v>
      </c>
      <c r="H105" s="139">
        <f>E105-G105</f>
        <v>22.01745</v>
      </c>
      <c r="I105" s="98">
        <f>8.3896</f>
        <v>8.3895999999999997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0.8208</f>
        <v>0.82079999999999997</v>
      </c>
      <c r="G106" s="139">
        <f>28.20888</f>
        <v>28.208880000000001</v>
      </c>
      <c r="H106" s="139">
        <f t="shared" ref="H106" si="10">E106-G106</f>
        <v>-28.208880000000001</v>
      </c>
      <c r="I106" s="139">
        <f>96.61676</f>
        <v>96.616759999999999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302.41426000000001</v>
      </c>
      <c r="G107" s="76">
        <f t="shared" si="12"/>
        <v>63143.59173</v>
      </c>
      <c r="H107" s="76">
        <f t="shared" si="12"/>
        <v>12480.40827</v>
      </c>
      <c r="I107" s="76">
        <f t="shared" si="12"/>
        <v>68120.462429999985</v>
      </c>
      <c r="J107" s="244"/>
    </row>
    <row r="108" spans="1:10" ht="13.5" customHeight="1" x14ac:dyDescent="0.2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2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2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572.76523999999995</v>
      </c>
      <c r="G128" s="11">
        <f t="shared" si="13"/>
        <v>44422.287369999998</v>
      </c>
      <c r="H128" s="11">
        <f t="shared" si="13"/>
        <v>27884.712630000002</v>
      </c>
      <c r="I128" s="11">
        <f t="shared" si="13"/>
        <v>49222.010309999998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60688</v>
      </c>
      <c r="E129" s="45">
        <v>57562</v>
      </c>
      <c r="F129" s="23">
        <f>494.7453</f>
        <v>494.74529999999999</v>
      </c>
      <c r="G129" s="23">
        <f>38911.21277</f>
        <v>38911.212769999998</v>
      </c>
      <c r="H129" s="23">
        <f>E129-G129</f>
        <v>18650.787230000002</v>
      </c>
      <c r="I129" s="23">
        <f>43491.17811</f>
        <v>43491.178110000001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14672</v>
      </c>
      <c r="E130" s="45">
        <v>14245</v>
      </c>
      <c r="F130" s="23">
        <f>78.01994</f>
        <v>78.019940000000005</v>
      </c>
      <c r="G130" s="23">
        <f>5445.34745</f>
        <v>5445.3474500000002</v>
      </c>
      <c r="H130" s="23">
        <f>E130-G130</f>
        <v>8799.6525499999989</v>
      </c>
      <c r="I130" s="23">
        <f>5613.58915</f>
        <v>5613.5891499999998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65.72715</f>
        <v>65.727149999999995</v>
      </c>
      <c r="H131" s="55">
        <f>E131-G131</f>
        <v>434.27285000000001</v>
      </c>
      <c r="I131" s="23">
        <f>117.24305</f>
        <v>117.24305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588.619</f>
        <v>588.61900000000003</v>
      </c>
      <c r="G132" s="95">
        <f>15942.2268+5165.42263</f>
        <v>21107.649430000001</v>
      </c>
      <c r="H132" s="95">
        <f>E132-G132</f>
        <v>31388.350569999999</v>
      </c>
      <c r="I132" s="95">
        <f>38147.56518</f>
        <v>38147.565179999998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1098.57656</v>
      </c>
      <c r="G133" s="94">
        <f t="shared" ref="G133" si="14">G134+G139+G142</f>
        <v>54835.452710000005</v>
      </c>
      <c r="H133" s="94">
        <f>H134+H139+H142</f>
        <v>25329.547289999999</v>
      </c>
      <c r="I133" s="94">
        <f>I134+I139+I142</f>
        <v>63689.998800000001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956.10960999999998</v>
      </c>
      <c r="G134" s="125">
        <f>G135+G136+G138+G137</f>
        <v>40550.761710000006</v>
      </c>
      <c r="H134" s="125">
        <f>H135+H136+H137+H138</f>
        <v>18528.238289999998</v>
      </c>
      <c r="I134" s="125">
        <f>I135+I136+I137+I138</f>
        <v>50473.478709999996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295.46996</f>
        <v>295.46996000000001</v>
      </c>
      <c r="G135" s="127">
        <v>8996.8100599999998</v>
      </c>
      <c r="H135" s="127">
        <f>E135-G135</f>
        <v>8777.1899400000002</v>
      </c>
      <c r="I135" s="127">
        <f>7954.78603</f>
        <v>7954.7860300000002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271.56067</f>
        <v>271.56067000000002</v>
      </c>
      <c r="G136" s="127">
        <v>11963.447085000002</v>
      </c>
      <c r="H136" s="127">
        <f>E136-G136</f>
        <v>2975.5529149999984</v>
      </c>
      <c r="I136" s="127">
        <f>13172.25444</f>
        <v>13172.254440000001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40.19938</f>
        <v>40.199379999999998</v>
      </c>
      <c r="G137" s="127">
        <v>9887.5506450000012</v>
      </c>
      <c r="H137" s="127">
        <f>E137-G137</f>
        <v>3163.4493549999988</v>
      </c>
      <c r="I137" s="127">
        <f>16215.22603</f>
        <v>16215.22603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348.8796</f>
        <v>348.87959999999998</v>
      </c>
      <c r="G138" s="127">
        <v>9702.9539199999999</v>
      </c>
      <c r="H138" s="127">
        <f>E138-G138</f>
        <v>3612.0460800000001</v>
      </c>
      <c r="I138" s="127">
        <f>13131.21221</f>
        <v>13131.21221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3.2652000000000001</v>
      </c>
      <c r="G139" s="132">
        <f>SUM(G140:G141)</f>
        <v>8892.4980699999996</v>
      </c>
      <c r="H139" s="132">
        <f>H140+H141</f>
        <v>37.501930000000357</v>
      </c>
      <c r="I139" s="132">
        <f>SUM(I140:I141)</f>
        <v>7018.1041599999999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8461.14568</f>
        <v>8461.1456799999996</v>
      </c>
      <c r="H140" s="127">
        <f t="shared" ref="H140:H148" si="15">E140-G140</f>
        <v>-31.145679999999629</v>
      </c>
      <c r="I140" s="127">
        <f>6776.22155</f>
        <v>6776.2215500000002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3.2652</f>
        <v>3.2652000000000001</v>
      </c>
      <c r="G141" s="127">
        <f>431.35239</f>
        <v>431.35239000000001</v>
      </c>
      <c r="H141" s="127">
        <f t="shared" si="15"/>
        <v>68.647609999999986</v>
      </c>
      <c r="I141" s="127">
        <f>241.88261</f>
        <v>241.88261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10907</v>
      </c>
      <c r="E142" s="61">
        <v>12156</v>
      </c>
      <c r="F142" s="75">
        <f>139.20175</f>
        <v>139.20175</v>
      </c>
      <c r="G142" s="75">
        <f>5392.19293</f>
        <v>5392.1929300000002</v>
      </c>
      <c r="H142" s="75">
        <f t="shared" si="15"/>
        <v>6763.8070699999998</v>
      </c>
      <c r="I142" s="75">
        <f>6198.41593</f>
        <v>6198.4159300000001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31.4675</f>
        <v>31.467500000000001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2.32325</f>
        <v>2.3232499999999998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276</v>
      </c>
      <c r="E147" s="143">
        <v>276</v>
      </c>
      <c r="F147" s="98">
        <f>1.3243</f>
        <v>1.3243</v>
      </c>
      <c r="G147" s="98">
        <f>46.72741</f>
        <v>46.727409999999999</v>
      </c>
      <c r="H147" s="139">
        <f t="shared" si="15"/>
        <v>229.27259000000001</v>
      </c>
      <c r="I147" s="98">
        <f>27.66843</f>
        <v>27.668430000000001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1.384</f>
        <v>1.3839999999999999</v>
      </c>
      <c r="G148" s="139">
        <f>118.01464</f>
        <v>118.01464</v>
      </c>
      <c r="H148" s="139">
        <f t="shared" si="15"/>
        <v>-118.01464</v>
      </c>
      <c r="I148" s="139">
        <f>104.37093</f>
        <v>104.37093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2264.99235</v>
      </c>
      <c r="G150" s="76">
        <f>G128+G132+G133+G143+G144+G145+G146+G147+G148</f>
        <v>122801.88011</v>
      </c>
      <c r="H150" s="76">
        <f>H128+H132+H133+H143+H144+H145+H146+H147+H148</f>
        <v>84838.119890000016</v>
      </c>
      <c r="I150" s="76">
        <f>I128+I132+I133+I143+I144+I145+I146+I147+I148</f>
        <v>153485.66214999999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4223</v>
      </c>
      <c r="E175" s="276">
        <f>12.86615</f>
        <v>12.866149999999999</v>
      </c>
      <c r="F175" s="276">
        <f>867.70005</f>
        <v>867.70005000000003</v>
      </c>
      <c r="G175" s="43">
        <f>D175-F175-F176</f>
        <v>1979.0280400000001</v>
      </c>
      <c r="H175" s="276">
        <f>1431.28146</f>
        <v>1431.2814599999999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1376.27191</f>
        <v>1376.2719099999999</v>
      </c>
      <c r="G176" s="217"/>
      <c r="H176" s="152">
        <f>1677.92714</f>
        <v>1677.92714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88.90728</f>
        <v>88.90728</v>
      </c>
      <c r="G177" s="172">
        <f>D177-F177</f>
        <v>111.09272</v>
      </c>
      <c r="H177" s="172">
        <f>74.61014</f>
        <v>74.610140000000001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12.311880000000002</v>
      </c>
      <c r="F178" s="181">
        <f>F179+F180+F181</f>
        <v>5921.9453299999996</v>
      </c>
      <c r="G178" s="181">
        <f>D178-F178</f>
        <v>412.05467000000044</v>
      </c>
      <c r="H178" s="181">
        <f>H179+H180+H181</f>
        <v>7963.5042899999999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3.20662</f>
        <v>3.20662</v>
      </c>
      <c r="F179" s="127">
        <f>3086.07842</f>
        <v>3086.0784199999998</v>
      </c>
      <c r="G179" s="127"/>
      <c r="H179" s="127">
        <f>4154.05747</f>
        <v>4154.0574699999997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6.42689</f>
        <v>6.4268900000000002</v>
      </c>
      <c r="F180" s="127">
        <f>1794.81395</f>
        <v>1794.81395</v>
      </c>
      <c r="G180" s="127"/>
      <c r="H180" s="127">
        <f>2418.78433</f>
        <v>2418.78433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2.67837</f>
        <v>2.6783700000000001</v>
      </c>
      <c r="F181" s="192">
        <f>1041.05296</f>
        <v>1041.05296</v>
      </c>
      <c r="G181" s="192"/>
      <c r="H181" s="192">
        <f>1390.66249</f>
        <v>1390.6624899999999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25.17803</v>
      </c>
      <c r="F184" s="194">
        <f>F175+F176+F177+F178+F182+F183</f>
        <v>8254.8245699999989</v>
      </c>
      <c r="G184" s="194">
        <f>D184-F184</f>
        <v>2568.1754300000011</v>
      </c>
      <c r="H184" s="194">
        <f>H175+H176+H177+H178+H182+H183</f>
        <v>11147.32303</v>
      </c>
      <c r="I184" s="163"/>
      <c r="J184" s="160"/>
    </row>
    <row r="185" spans="1:10" ht="42" customHeight="1" x14ac:dyDescent="0.2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46282</v>
      </c>
      <c r="E204" s="124">
        <f>160.22743</f>
        <v>160.22743</v>
      </c>
      <c r="F204" s="124">
        <f>39008.36762</f>
        <v>39008.367619999997</v>
      </c>
      <c r="G204" s="124">
        <f>D204-F204</f>
        <v>7273.6323800000027</v>
      </c>
      <c r="H204" s="124">
        <f>39865.83345</f>
        <v>39865.833449999998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0.119</f>
        <v>0.11899999999999999</v>
      </c>
      <c r="F205" s="124">
        <f>38.77192</f>
        <v>38.771920000000001</v>
      </c>
      <c r="G205" s="124">
        <f>D205-F205</f>
        <v>61.228079999999999</v>
      </c>
      <c r="H205" s="124">
        <f>59.24975</f>
        <v>59.249749999999999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46418</v>
      </c>
      <c r="E207" s="190">
        <f>SUM(E204:E206)</f>
        <v>160.34643</v>
      </c>
      <c r="F207" s="190">
        <f>SUM(F204:F206)</f>
        <v>39047.139539999996</v>
      </c>
      <c r="G207" s="190">
        <f>D207-F207</f>
        <v>7370.8604600000035</v>
      </c>
      <c r="H207" s="190">
        <f>SUM(H204:H206)</f>
        <v>39925.083200000001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4"/>
      <c r="C249" s="90" t="s">
        <v>123</v>
      </c>
      <c r="D249" s="124">
        <v>3987</v>
      </c>
      <c r="E249" s="75">
        <f>E250+E251</f>
        <v>5.0257100000000001</v>
      </c>
      <c r="F249" s="75">
        <f>F250+F251</f>
        <v>3870.3109600000003</v>
      </c>
      <c r="G249" s="75">
        <f>D249-F249</f>
        <v>116.68903999999975</v>
      </c>
      <c r="H249" s="75">
        <f>H250+H251</f>
        <v>3968.6015100000004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1.1724</f>
        <v>1.1724000000000001</v>
      </c>
      <c r="F250" s="75">
        <f>3341.68427</f>
        <v>3341.6842700000002</v>
      </c>
      <c r="G250" s="75"/>
      <c r="H250" s="75">
        <f>3440.0781</f>
        <v>3440.0781000000002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3.85331</f>
        <v>3.85331</v>
      </c>
      <c r="F251" s="124">
        <f>528.62669</f>
        <v>528.62669000000005</v>
      </c>
      <c r="G251" s="168"/>
      <c r="H251" s="124">
        <f>528.52341</f>
        <v>528.52341000000001</v>
      </c>
      <c r="I251" s="248"/>
      <c r="J251" s="120"/>
    </row>
    <row r="252" spans="1:10" ht="15" customHeight="1" x14ac:dyDescent="0.25">
      <c r="A252" s="1"/>
      <c r="B252" s="254"/>
      <c r="C252" s="90" t="s">
        <v>124</v>
      </c>
      <c r="D252" s="124">
        <v>4613</v>
      </c>
      <c r="E252" s="75">
        <f>46.8672</f>
        <v>46.867199999999997</v>
      </c>
      <c r="F252" s="75">
        <f>5119.37054</f>
        <v>5119.3705399999999</v>
      </c>
      <c r="G252" s="75">
        <f>D252-F252</f>
        <v>-506.37053999999989</v>
      </c>
      <c r="H252" s="75">
        <f>4972.13429</f>
        <v>4972.13429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51.892910000000001</v>
      </c>
      <c r="F253" s="190">
        <f>SUM(F249,F252)</f>
        <v>8989.6815000000006</v>
      </c>
      <c r="G253" s="190">
        <f>D253-F253</f>
        <v>-389.6815000000006</v>
      </c>
      <c r="H253" s="190">
        <f>SUM(H249,H252)</f>
        <v>8940.7358000000004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4"/>
      <c r="C295" s="90" t="s">
        <v>123</v>
      </c>
      <c r="D295" s="124">
        <v>5090</v>
      </c>
      <c r="E295" s="75">
        <f>E296+E297</f>
        <v>0.64290000000000003</v>
      </c>
      <c r="F295" s="75">
        <f>F296+F297</f>
        <v>4765.9584000000004</v>
      </c>
      <c r="G295" s="75">
        <f>D295-F295</f>
        <v>324.04159999999956</v>
      </c>
      <c r="H295" s="75">
        <f>H296+H297</f>
        <v>5763.1922400000003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0.2268</f>
        <v>0.2268</v>
      </c>
      <c r="F296" s="75">
        <f>4310.46061</f>
        <v>4310.4606100000001</v>
      </c>
      <c r="G296" s="75"/>
      <c r="H296" s="75">
        <f>5341.83421</f>
        <v>5341.83421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0.4161</f>
        <v>0.41610000000000003</v>
      </c>
      <c r="F297" s="124">
        <f>455.49779</f>
        <v>455.49779000000001</v>
      </c>
      <c r="G297" s="168"/>
      <c r="H297" s="124">
        <f>421.35803</f>
        <v>421.35802999999999</v>
      </c>
      <c r="I297" s="248"/>
      <c r="J297" s="120"/>
    </row>
    <row r="298" spans="1:10" ht="15" customHeight="1" x14ac:dyDescent="0.25">
      <c r="A298" s="1"/>
      <c r="B298" s="254"/>
      <c r="C298" s="90" t="s">
        <v>124</v>
      </c>
      <c r="D298" s="124">
        <v>2981</v>
      </c>
      <c r="E298" s="75">
        <f>49.57874</f>
        <v>49.578740000000003</v>
      </c>
      <c r="F298" s="75">
        <f>2475.73939</f>
        <v>2475.7393900000002</v>
      </c>
      <c r="G298" s="75">
        <f>D298-F298</f>
        <v>505.26060999999982</v>
      </c>
      <c r="H298" s="75">
        <f>3104.99617</f>
        <v>3104.9961699999999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50.221640000000001</v>
      </c>
      <c r="F299" s="190">
        <f>SUM(F295,F298)</f>
        <v>7241.6977900000002</v>
      </c>
      <c r="G299" s="190">
        <f>D299-F299</f>
        <v>829.30220999999983</v>
      </c>
      <c r="H299" s="190">
        <f>SUM(H295,H298)</f>
        <v>8868.1884100000007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6.02272</f>
        <v>6.0227199999999996</v>
      </c>
      <c r="F350" s="124">
        <f>500.91249</f>
        <v>500.91248999999999</v>
      </c>
      <c r="G350" s="124">
        <f>D350-F350</f>
        <v>299.08751000000001</v>
      </c>
      <c r="H350" s="124">
        <f>479.87256</f>
        <v>479.87256000000002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3041</v>
      </c>
      <c r="E351" s="124">
        <f>2.61774</f>
        <v>2.61774</v>
      </c>
      <c r="F351" s="124">
        <f>2037.67454</f>
        <v>2037.67454</v>
      </c>
      <c r="G351" s="124">
        <f>D351-F351</f>
        <v>1003.32546</v>
      </c>
      <c r="H351" s="124">
        <f>2425.92077</f>
        <v>2425.9207700000002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1.7076</f>
        <v>1.7076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3851</v>
      </c>
      <c r="E354" s="190">
        <f>SUM(E350:E353)</f>
        <v>8.6404599999999991</v>
      </c>
      <c r="F354" s="190">
        <f>SUM(F350:F353)</f>
        <v>2542.2876500000002</v>
      </c>
      <c r="G354" s="190">
        <f>D354-F354</f>
        <v>1308.7123499999998</v>
      </c>
      <c r="H354" s="190">
        <f>H350+H351+H352+H353</f>
        <v>2910.2396700000004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115</v>
      </c>
    </row>
    <row r="358" spans="1:10" ht="14.1" customHeight="1" x14ac:dyDescent="0.25">
      <c r="A358" s="1" t="s">
        <v>115</v>
      </c>
    </row>
    <row r="359" spans="1:10" ht="14.1" customHeight="1" x14ac:dyDescent="0.25">
      <c r="A359" s="1" t="s">
        <v>115</v>
      </c>
    </row>
    <row r="360" spans="1:10" ht="14.1" customHeight="1" x14ac:dyDescent="0.25">
      <c r="A360" s="1"/>
      <c r="C360" s="150" t="s">
        <v>115</v>
      </c>
    </row>
    <row r="361" spans="1:10" x14ac:dyDescent="0.25">
      <c r="A361" s="1"/>
      <c r="C361" s="150" t="s">
        <v>115</v>
      </c>
    </row>
    <row r="362" spans="1:10" ht="14.1" customHeight="1" x14ac:dyDescent="0.25">
      <c r="A362" s="1"/>
      <c r="C362" s="150" t="s">
        <v>115</v>
      </c>
    </row>
    <row r="363" spans="1:10" ht="14.1" customHeight="1" x14ac:dyDescent="0.25">
      <c r="A363" s="1"/>
      <c r="C363" s="150" t="s">
        <v>115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291.7919</v>
      </c>
      <c r="G380" s="253">
        <f t="shared" si="17"/>
        <v>13485.82116</v>
      </c>
      <c r="H380" s="253">
        <f>H384+H383+H382+H381</f>
        <v>9483.1788400000005</v>
      </c>
      <c r="I380" s="253">
        <f t="shared" si="17"/>
        <v>12701.24238</v>
      </c>
      <c r="J380" s="130"/>
    </row>
    <row r="381" spans="1:10" ht="14.1" customHeight="1" x14ac:dyDescent="0.25">
      <c r="A381" s="218"/>
      <c r="B381" s="72"/>
      <c r="C381" s="255" t="s">
        <v>104</v>
      </c>
      <c r="D381" s="256">
        <v>12051</v>
      </c>
      <c r="E381" s="256">
        <v>13190</v>
      </c>
      <c r="F381" s="257">
        <f>0</f>
        <v>0</v>
      </c>
      <c r="G381" s="257">
        <f>7621.95643</f>
        <v>7621.9564300000002</v>
      </c>
      <c r="H381" s="257">
        <f t="shared" ref="H381:H385" si="18">E381-G381</f>
        <v>5568.0435699999998</v>
      </c>
      <c r="I381" s="257">
        <f>7005.24966</f>
        <v>7005.2496600000004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3136</v>
      </c>
      <c r="E382" s="256">
        <v>3433</v>
      </c>
      <c r="F382" s="257">
        <f>228.82601</f>
        <v>228.82601</v>
      </c>
      <c r="G382" s="257">
        <f>1868.18502</f>
        <v>1868.1850199999999</v>
      </c>
      <c r="H382" s="257">
        <f t="shared" si="18"/>
        <v>1564.8149800000001</v>
      </c>
      <c r="I382" s="257">
        <f>1238.34555</f>
        <v>1238.34555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1454</v>
      </c>
      <c r="E383" s="256">
        <v>1483</v>
      </c>
      <c r="F383" s="257">
        <f>12.70889</f>
        <v>12.70889</v>
      </c>
      <c r="G383" s="257">
        <f>1695.34305</f>
        <v>1695.3430499999999</v>
      </c>
      <c r="H383" s="257">
        <f t="shared" si="18"/>
        <v>-212.34304999999995</v>
      </c>
      <c r="I383" s="257">
        <f>1708.36987</f>
        <v>1708.36987</v>
      </c>
      <c r="J383" s="130"/>
    </row>
    <row r="384" spans="1:10" ht="14.1" customHeight="1" x14ac:dyDescent="0.25">
      <c r="A384" s="218"/>
      <c r="B384" s="72"/>
      <c r="C384" s="262" t="s">
        <v>105</v>
      </c>
      <c r="D384" s="263">
        <v>4867</v>
      </c>
      <c r="E384" s="263">
        <v>4863</v>
      </c>
      <c r="F384" s="257">
        <f>50.257</f>
        <v>50.256999999999998</v>
      </c>
      <c r="G384" s="257">
        <f>2300.33666</f>
        <v>2300.3366599999999</v>
      </c>
      <c r="H384" s="257">
        <f t="shared" si="18"/>
        <v>2562.6633400000001</v>
      </c>
      <c r="I384" s="257">
        <f>2749.2773</f>
        <v>2749.2773000000002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2.357</f>
        <v>2.3570000000000002</v>
      </c>
      <c r="G385" s="268">
        <f>2147.48978</f>
        <v>2147.4897799999999</v>
      </c>
      <c r="H385" s="268">
        <f t="shared" si="18"/>
        <v>3352.5102200000001</v>
      </c>
      <c r="I385" s="268">
        <f>5108.15528</f>
        <v>5108.1552799999999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19.837060000000001</v>
      </c>
      <c r="G386" s="269">
        <f>G388+G387</f>
        <v>2865.8026799999998</v>
      </c>
      <c r="H386" s="269">
        <f>E386-G386</f>
        <v>5134.1973200000002</v>
      </c>
      <c r="I386" s="269">
        <f>I388+I387</f>
        <v>3550.0405999999998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900.74358</f>
        <v>900.74357999999995</v>
      </c>
      <c r="H387" s="257"/>
      <c r="I387" s="257">
        <f>847.45358</f>
        <v>847.45357999999999</v>
      </c>
      <c r="J387" s="130"/>
    </row>
    <row r="388" spans="1:10" ht="14.1" customHeight="1" x14ac:dyDescent="0.25">
      <c r="A388" s="218"/>
      <c r="B388" s="72"/>
      <c r="C388" s="273" t="s">
        <v>106</v>
      </c>
      <c r="D388" s="274"/>
      <c r="E388" s="277"/>
      <c r="F388" s="278">
        <f>19.83706</f>
        <v>19.837060000000001</v>
      </c>
      <c r="G388" s="278">
        <f>1965.0591</f>
        <v>1965.0590999999999</v>
      </c>
      <c r="H388" s="278"/>
      <c r="I388" s="278">
        <f>2702.58702</f>
        <v>2702.5870199999999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" customHeight="1" x14ac:dyDescent="0.25">
      <c r="A390" s="218"/>
      <c r="B390" s="72"/>
      <c r="C390" s="279" t="s">
        <v>107</v>
      </c>
      <c r="D390" s="282"/>
      <c r="E390" s="283"/>
      <c r="F390" s="268">
        <f>0.2568</f>
        <v>0.25679999999999997</v>
      </c>
      <c r="G390" s="268">
        <f>103.18891</f>
        <v>103.18891000000001</v>
      </c>
      <c r="H390" s="268">
        <f>E390-G390</f>
        <v>-103.18891000000001</v>
      </c>
      <c r="I390" s="268">
        <f>115.79006</f>
        <v>115.79006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314.24276000000003</v>
      </c>
      <c r="G391" s="287">
        <f t="shared" si="19"/>
        <v>18602.41893</v>
      </c>
      <c r="H391" s="287">
        <f>H380+H385+H386+H389+H390</f>
        <v>17879.58107</v>
      </c>
      <c r="I391" s="287">
        <f t="shared" si="19"/>
        <v>21475.301819999997</v>
      </c>
      <c r="J391" s="130"/>
    </row>
    <row r="392" spans="1:10" ht="14.1" customHeight="1" x14ac:dyDescent="0.2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236.25" customHeight="1" x14ac:dyDescent="0.2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18.75" x14ac:dyDescent="0.2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115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1" t="s">
        <v>142</v>
      </c>
      <c r="D407" s="301"/>
      <c r="E407" s="301"/>
      <c r="F407" s="301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" customHeight="1" x14ac:dyDescent="0.25">
      <c r="A413" s="218"/>
      <c r="B413" s="72"/>
      <c r="C413" s="265" t="s">
        <v>112</v>
      </c>
      <c r="D413" s="204">
        <v>894</v>
      </c>
      <c r="E413" s="26">
        <f>SUM(E414:E415)</f>
        <v>38.956400000000002</v>
      </c>
      <c r="F413" s="26">
        <f>SUM(F414:F415)</f>
        <v>719.05657999999994</v>
      </c>
      <c r="G413" s="85">
        <f>D413-F413</f>
        <v>174.94342000000006</v>
      </c>
      <c r="H413" s="26">
        <f>SUM(H414:H415)</f>
        <v>697.64848000000006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29.2009</f>
        <v>29.200900000000001</v>
      </c>
      <c r="F414" s="205">
        <f>556.01348</f>
        <v>556.01347999999996</v>
      </c>
      <c r="G414" s="206"/>
      <c r="H414" s="205">
        <f>540.29808</f>
        <v>540.29808000000003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9.7555</f>
        <v>9.7554999999999996</v>
      </c>
      <c r="F415" s="208">
        <f>163.0431</f>
        <v>163.04310000000001</v>
      </c>
      <c r="G415" s="209"/>
      <c r="H415" s="208">
        <f>157.3504</f>
        <v>157.35040000000001</v>
      </c>
      <c r="I415" s="150"/>
      <c r="J415" s="130"/>
    </row>
    <row r="416" spans="1:10" ht="14.1" customHeight="1" x14ac:dyDescent="0.2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38.956400000000002</v>
      </c>
      <c r="F423" s="40">
        <f>F413+F416+F419+F422</f>
        <v>719.05657999999994</v>
      </c>
      <c r="G423" s="41">
        <f>D423-F423</f>
        <v>1961.9434200000001</v>
      </c>
      <c r="H423" s="40">
        <f>H413+H416+H419+H422</f>
        <v>697.64848000000006</v>
      </c>
      <c r="I423" s="27"/>
      <c r="J423" s="130"/>
    </row>
    <row r="424" spans="1:10" ht="42" customHeight="1" x14ac:dyDescent="0.25">
      <c r="A424" s="218"/>
      <c r="B424" s="72"/>
      <c r="C424" s="292" t="s">
        <v>119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24:J424"/>
    <mergeCell ref="C52:H52"/>
    <mergeCell ref="D55:D59"/>
    <mergeCell ref="G55:G59"/>
    <mergeCell ref="C81:D81"/>
    <mergeCell ref="E81:F81"/>
    <mergeCell ref="G81:H81"/>
    <mergeCell ref="C407:F407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37&amp;R16.09.2024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2024-09-16T07:14:20Z</dcterms:modified>
</cp:coreProperties>
</file>