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Regulering\Seksjon for fiskeriregulering - NY MAPPE\ameik\Ukesstatistikk\2022\22-41\Inndata\"/>
    </mc:Choice>
  </mc:AlternateContent>
  <xr:revisionPtr revIDLastSave="0" documentId="13_ncr:1_{3ABE2CA9-6204-4EE8-8CF9-3EE9B5B2F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41_2022" sheetId="1" r:id="rId1"/>
  </sheets>
  <definedNames>
    <definedName name="Z_14D440E4_F18A_4F78_9989_38C1B133222D_.wvu.Cols" localSheetId="0" hidden="1">UKE_41_2022!#REF!</definedName>
    <definedName name="Z_14D440E4_F18A_4F78_9989_38C1B133222D_.wvu.PrintArea" localSheetId="0" hidden="1">UKE_41_2022!$B$1:$J$359</definedName>
    <definedName name="Z_14D440E4_F18A_4F78_9989_38C1B133222D_.wvu.Rows" localSheetId="0" hidden="1">UKE_41_2022!#REF!,UKE_41_2022!#REF!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2" i="1" l="1"/>
  <c r="H161" i="1"/>
  <c r="I35" i="1"/>
  <c r="G35" i="1"/>
  <c r="I31" i="1"/>
  <c r="I30" i="1"/>
  <c r="I29" i="1"/>
  <c r="I28" i="1"/>
  <c r="G31" i="1"/>
  <c r="G30" i="1"/>
  <c r="G29" i="1"/>
  <c r="G28" i="1"/>
  <c r="D357" i="1"/>
  <c r="H355" i="1"/>
  <c r="F355" i="1"/>
  <c r="E355" i="1"/>
  <c r="H354" i="1"/>
  <c r="H353" i="1" s="1"/>
  <c r="F354" i="1"/>
  <c r="F353" i="1" s="1"/>
  <c r="G353" i="1" s="1"/>
  <c r="E354" i="1"/>
  <c r="E353" i="1" s="1"/>
  <c r="H352" i="1"/>
  <c r="F352" i="1"/>
  <c r="E352" i="1"/>
  <c r="E350" i="1" s="1"/>
  <c r="H351" i="1"/>
  <c r="H350" i="1" s="1"/>
  <c r="F351" i="1"/>
  <c r="E351" i="1"/>
  <c r="F350" i="1"/>
  <c r="G350" i="1" s="1"/>
  <c r="H349" i="1"/>
  <c r="F349" i="1"/>
  <c r="E349" i="1"/>
  <c r="H348" i="1"/>
  <c r="F348" i="1"/>
  <c r="E348" i="1"/>
  <c r="H347" i="1"/>
  <c r="H357" i="1" s="1"/>
  <c r="F347" i="1"/>
  <c r="G347" i="1" s="1"/>
  <c r="G357" i="1" s="1"/>
  <c r="E347" i="1"/>
  <c r="E325" i="1"/>
  <c r="D325" i="1"/>
  <c r="I324" i="1"/>
  <c r="H324" i="1"/>
  <c r="G324" i="1"/>
  <c r="F324" i="1"/>
  <c r="I323" i="1"/>
  <c r="G323" i="1"/>
  <c r="H323" i="1" s="1"/>
  <c r="F323" i="1"/>
  <c r="I322" i="1"/>
  <c r="G322" i="1"/>
  <c r="F322" i="1"/>
  <c r="I321" i="1"/>
  <c r="G321" i="1"/>
  <c r="F321" i="1"/>
  <c r="I320" i="1"/>
  <c r="G320" i="1"/>
  <c r="H320" i="1" s="1"/>
  <c r="F320" i="1"/>
  <c r="I319" i="1"/>
  <c r="H319" i="1"/>
  <c r="G319" i="1"/>
  <c r="F319" i="1"/>
  <c r="I318" i="1"/>
  <c r="G318" i="1"/>
  <c r="H318" i="1" s="1"/>
  <c r="F318" i="1"/>
  <c r="I317" i="1"/>
  <c r="H317" i="1"/>
  <c r="G317" i="1"/>
  <c r="F317" i="1"/>
  <c r="I316" i="1"/>
  <c r="G316" i="1"/>
  <c r="H316" i="1" s="1"/>
  <c r="F316" i="1"/>
  <c r="I315" i="1"/>
  <c r="H315" i="1"/>
  <c r="G315" i="1"/>
  <c r="F315" i="1"/>
  <c r="I314" i="1"/>
  <c r="I325" i="1" s="1"/>
  <c r="G314" i="1"/>
  <c r="G325" i="1" s="1"/>
  <c r="F314" i="1"/>
  <c r="F325" i="1" s="1"/>
  <c r="E314" i="1"/>
  <c r="D314" i="1"/>
  <c r="H306" i="1"/>
  <c r="F306" i="1"/>
  <c r="D288" i="1"/>
  <c r="H287" i="1"/>
  <c r="F287" i="1"/>
  <c r="E287" i="1"/>
  <c r="H286" i="1"/>
  <c r="H288" i="1" s="1"/>
  <c r="F286" i="1"/>
  <c r="G286" i="1" s="1"/>
  <c r="E286" i="1"/>
  <c r="H285" i="1"/>
  <c r="F285" i="1"/>
  <c r="E285" i="1"/>
  <c r="H284" i="1"/>
  <c r="G284" i="1"/>
  <c r="F284" i="1"/>
  <c r="E284" i="1"/>
  <c r="E288" i="1" s="1"/>
  <c r="D277" i="1"/>
  <c r="D233" i="1"/>
  <c r="G233" i="1" s="1"/>
  <c r="G232" i="1"/>
  <c r="H231" i="1"/>
  <c r="H233" i="1" s="1"/>
  <c r="G231" i="1"/>
  <c r="F231" i="1"/>
  <c r="E231" i="1"/>
  <c r="H230" i="1"/>
  <c r="F230" i="1"/>
  <c r="F233" i="1" s="1"/>
  <c r="E230" i="1"/>
  <c r="E233" i="1" s="1"/>
  <c r="D210" i="1"/>
  <c r="H208" i="1"/>
  <c r="G208" i="1"/>
  <c r="F208" i="1"/>
  <c r="E208" i="1"/>
  <c r="H207" i="1"/>
  <c r="F207" i="1"/>
  <c r="E207" i="1"/>
  <c r="H206" i="1"/>
  <c r="F206" i="1"/>
  <c r="E206" i="1"/>
  <c r="H205" i="1"/>
  <c r="H204" i="1" s="1"/>
  <c r="F205" i="1"/>
  <c r="F204" i="1" s="1"/>
  <c r="G204" i="1" s="1"/>
  <c r="E205" i="1"/>
  <c r="E204" i="1" s="1"/>
  <c r="H203" i="1"/>
  <c r="F203" i="1"/>
  <c r="G203" i="1" s="1"/>
  <c r="E203" i="1"/>
  <c r="H202" i="1"/>
  <c r="F202" i="1"/>
  <c r="E202" i="1"/>
  <c r="H201" i="1"/>
  <c r="G201" i="1"/>
  <c r="F201" i="1"/>
  <c r="F210" i="1" s="1"/>
  <c r="G210" i="1" s="1"/>
  <c r="E201" i="1"/>
  <c r="E210" i="1" s="1"/>
  <c r="H174" i="1"/>
  <c r="H173" i="1"/>
  <c r="H172" i="1"/>
  <c r="H171" i="1"/>
  <c r="F171" i="1"/>
  <c r="I170" i="1"/>
  <c r="G170" i="1"/>
  <c r="H170" i="1" s="1"/>
  <c r="F170" i="1"/>
  <c r="I169" i="1"/>
  <c r="H169" i="1"/>
  <c r="G169" i="1"/>
  <c r="F169" i="1"/>
  <c r="I168" i="1"/>
  <c r="G168" i="1"/>
  <c r="H168" i="1" s="1"/>
  <c r="F168" i="1"/>
  <c r="I167" i="1"/>
  <c r="H167" i="1"/>
  <c r="G167" i="1"/>
  <c r="H166" i="1"/>
  <c r="H165" i="1"/>
  <c r="E165" i="1"/>
  <c r="E159" i="1" s="1"/>
  <c r="D165" i="1"/>
  <c r="I164" i="1"/>
  <c r="H164" i="1"/>
  <c r="F164" i="1"/>
  <c r="I163" i="1"/>
  <c r="H163" i="1"/>
  <c r="F163" i="1"/>
  <c r="I162" i="1"/>
  <c r="F162" i="1"/>
  <c r="I161" i="1"/>
  <c r="F161" i="1"/>
  <c r="F160" i="1" s="1"/>
  <c r="F159" i="1" s="1"/>
  <c r="I160" i="1"/>
  <c r="I159" i="1" s="1"/>
  <c r="E160" i="1"/>
  <c r="D160" i="1"/>
  <c r="D159" i="1" s="1"/>
  <c r="I158" i="1"/>
  <c r="H158" i="1"/>
  <c r="F158" i="1"/>
  <c r="H157" i="1"/>
  <c r="I156" i="1"/>
  <c r="H156" i="1"/>
  <c r="G156" i="1"/>
  <c r="F156" i="1"/>
  <c r="I155" i="1"/>
  <c r="I154" i="1" s="1"/>
  <c r="G155" i="1"/>
  <c r="H155" i="1" s="1"/>
  <c r="H154" i="1" s="1"/>
  <c r="F155" i="1"/>
  <c r="F154" i="1" s="1"/>
  <c r="F176" i="1" s="1"/>
  <c r="E154" i="1"/>
  <c r="D154" i="1"/>
  <c r="D176" i="1" s="1"/>
  <c r="C152" i="1"/>
  <c r="H132" i="1"/>
  <c r="H131" i="1"/>
  <c r="H129" i="1"/>
  <c r="F129" i="1"/>
  <c r="I128" i="1"/>
  <c r="H128" i="1"/>
  <c r="G128" i="1"/>
  <c r="F128" i="1"/>
  <c r="I127" i="1"/>
  <c r="G127" i="1"/>
  <c r="H127" i="1" s="1"/>
  <c r="F127" i="1"/>
  <c r="I126" i="1"/>
  <c r="H126" i="1"/>
  <c r="G126" i="1"/>
  <c r="F126" i="1"/>
  <c r="I125" i="1"/>
  <c r="G125" i="1"/>
  <c r="H125" i="1" s="1"/>
  <c r="F125" i="1"/>
  <c r="I124" i="1"/>
  <c r="H124" i="1"/>
  <c r="G124" i="1"/>
  <c r="F124" i="1"/>
  <c r="I123" i="1"/>
  <c r="G123" i="1"/>
  <c r="H123" i="1" s="1"/>
  <c r="F123" i="1"/>
  <c r="I122" i="1"/>
  <c r="H122" i="1"/>
  <c r="H121" i="1" s="1"/>
  <c r="H120" i="1" s="1"/>
  <c r="G122" i="1"/>
  <c r="G121" i="1" s="1"/>
  <c r="G120" i="1" s="1"/>
  <c r="F122" i="1"/>
  <c r="F121" i="1" s="1"/>
  <c r="F120" i="1" s="1"/>
  <c r="I121" i="1"/>
  <c r="I120" i="1" s="1"/>
  <c r="E121" i="1"/>
  <c r="E120" i="1" s="1"/>
  <c r="D121" i="1"/>
  <c r="D120" i="1" s="1"/>
  <c r="D133" i="1" s="1"/>
  <c r="I119" i="1"/>
  <c r="G119" i="1"/>
  <c r="H119" i="1" s="1"/>
  <c r="F119" i="1"/>
  <c r="I118" i="1"/>
  <c r="I117" i="1" s="1"/>
  <c r="G118" i="1"/>
  <c r="H118" i="1" s="1"/>
  <c r="F118" i="1"/>
  <c r="G117" i="1"/>
  <c r="G133" i="1" s="1"/>
  <c r="F117" i="1"/>
  <c r="E117" i="1"/>
  <c r="D117" i="1"/>
  <c r="C114" i="1"/>
  <c r="H110" i="1"/>
  <c r="F110" i="1"/>
  <c r="D110" i="1"/>
  <c r="G62" i="1"/>
  <c r="G61" i="1"/>
  <c r="H56" i="1"/>
  <c r="I32" i="1" s="1"/>
  <c r="F56" i="1"/>
  <c r="G56" i="1" s="1"/>
  <c r="E56" i="1"/>
  <c r="F32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I34" i="1" s="1"/>
  <c r="G36" i="1"/>
  <c r="H36" i="1" s="1"/>
  <c r="F36" i="1"/>
  <c r="F35" i="1"/>
  <c r="E34" i="1"/>
  <c r="D34" i="1"/>
  <c r="D26" i="1" s="1"/>
  <c r="I33" i="1"/>
  <c r="H33" i="1"/>
  <c r="G33" i="1"/>
  <c r="F33" i="1"/>
  <c r="H31" i="1"/>
  <c r="F31" i="1"/>
  <c r="H30" i="1"/>
  <c r="F30" i="1"/>
  <c r="H29" i="1"/>
  <c r="F29" i="1"/>
  <c r="H28" i="1"/>
  <c r="F28" i="1"/>
  <c r="E27" i="1"/>
  <c r="D27" i="1"/>
  <c r="E26" i="1"/>
  <c r="I25" i="1"/>
  <c r="G25" i="1"/>
  <c r="H25" i="1" s="1"/>
  <c r="H23" i="1" s="1"/>
  <c r="F25" i="1"/>
  <c r="F23" i="1" s="1"/>
  <c r="I24" i="1"/>
  <c r="I23" i="1" s="1"/>
  <c r="H24" i="1"/>
  <c r="G24" i="1"/>
  <c r="G23" i="1" s="1"/>
  <c r="F24" i="1"/>
  <c r="E23" i="1"/>
  <c r="E45" i="1" s="1"/>
  <c r="D23" i="1"/>
  <c r="D45" i="1" s="1"/>
  <c r="H16" i="1"/>
  <c r="F16" i="1"/>
  <c r="D16" i="1"/>
  <c r="H160" i="1" l="1"/>
  <c r="H159" i="1" s="1"/>
  <c r="H176" i="1" s="1"/>
  <c r="G160" i="1"/>
  <c r="G159" i="1" s="1"/>
  <c r="I27" i="1"/>
  <c r="I26" i="1" s="1"/>
  <c r="I45" i="1" s="1"/>
  <c r="G32" i="1"/>
  <c r="F34" i="1"/>
  <c r="F27" i="1"/>
  <c r="G34" i="1"/>
  <c r="H34" i="1" s="1"/>
  <c r="H210" i="1"/>
  <c r="E176" i="1"/>
  <c r="I133" i="1"/>
  <c r="H314" i="1"/>
  <c r="H325" i="1" s="1"/>
  <c r="E357" i="1"/>
  <c r="H117" i="1"/>
  <c r="H133" i="1" s="1"/>
  <c r="I176" i="1"/>
  <c r="E133" i="1"/>
  <c r="F133" i="1"/>
  <c r="H35" i="1"/>
  <c r="G230" i="1"/>
  <c r="G154" i="1"/>
  <c r="F357" i="1"/>
  <c r="F288" i="1"/>
  <c r="G288" i="1" s="1"/>
  <c r="G176" i="1" l="1"/>
  <c r="H32" i="1"/>
  <c r="H27" i="1" s="1"/>
  <c r="H26" i="1" s="1"/>
  <c r="H45" i="1" s="1"/>
  <c r="G27" i="1"/>
  <c r="G26" i="1" s="1"/>
  <c r="G45" i="1" s="1"/>
  <c r="F26" i="1"/>
  <c r="F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<sst xmlns="http://schemas.openxmlformats.org/spreadsheetml/2006/main" count="333" uniqueCount="150">
  <si>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</si>
  <si>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</si>
  <si>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</si>
  <si>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</si>
  <si>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</si>
  <si>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</si>
  <si>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</si>
  <si>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</si>
  <si>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</si>
  <si>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</si>
  <si>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</si>
  <si>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</si>
  <si>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</si>
  <si>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</si>
  <si>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</si>
  <si>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</si>
  <si>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</si>
  <si>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</si>
  <si>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</si>
  <si>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</si>
  <si>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</si>
  <si>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</si>
  <si>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</si>
  <si>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</si>
  <si>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</si>
  <si>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</si>
  <si>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</si>
  <si>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</si>
  <si>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</si>
  <si>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</si>
  <si>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</si>
  <si>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</si>
  <si>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</si>
  <si>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</si>
  <si>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</si>
  <si>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</si>
  <si>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</si>
  <si>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</si>
  <si>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</si>
  <si>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</si>
  <si>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</si>
  <si>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</si>
  <si>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</si>
  <si>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</si>
  <si>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</si>
  <si>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</si>
  <si>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</si>
  <si>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</si>
  <si>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</si>
  <si>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</si>
  <si>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</si>
  <si>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</si>
  <si>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</si>
  <si>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</si>
  <si>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</si>
  <si>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</si>
  <si>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</si>
  <si>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</si>
  <si>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</si>
  <si>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</si>
  <si>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</si>
  <si>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</si>
  <si>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</si>
  <si>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</si>
  <si>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</si>
  <si>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</si>
  <si>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</si>
  <si>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</si>
  <si>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</si>
  <si>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</si>
  <si>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</si>
  <si>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</si>
  <si>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</si>
  <si>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</si>
  <si>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</si>
  <si>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</si>
  <si>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</si>
  <si>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</si>
  <si>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</si>
  <si>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</si>
  <si>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</si>
  <si>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</si>
  <si>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</si>
  <si>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</si>
  <si>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</si>
  <si>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</si>
  <si>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</si>
  <si>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</si>
  <si>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</si>
  <si>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</si>
  <si>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</si>
  <si>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</si>
  <si>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</si>
  <si>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</si>
  <si>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</si>
  <si>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</si>
  <si>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</si>
  <si>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</si>
  <si>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</si>
  <si>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</si>
  <si>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</si>
  <si>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</si>
  <si>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</si>
  <si>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</si>
  <si>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</si>
  <si>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</si>
  <si>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</si>
  <si>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</si>
  <si>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</si>
  <si>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</si>
  <si>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</si>
  <si>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</si>
  <si>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</si>
  <si>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</si>
  <si>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</si>
  <si>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</si>
  <si>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</si>
  <si>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</si>
  <si>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</si>
  <si>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</si>
  <si>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</si>
  <si>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</si>
  <si>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</si>
  <si>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</si>
  <si>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</si>
  <si>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</si>
  <si>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</si>
  <si>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</si>
  <si>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</si>
  <si>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</si>
  <si>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</si>
  <si>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</si>
  <si>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</si>
  <si>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</si>
  <si>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</si>
  <si>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</si>
  <si>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</si>
  <si>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</si>
  <si>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</si>
  <si>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</si>
  <si>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</si>
  <si>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</si>
  <si>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41</t>
  </si>
  <si>
    <t>FANGST T.O.M UKE 41</t>
  </si>
  <si>
    <t>RESTKVOTER UKE 41</t>
  </si>
  <si>
    <t>FANGST T.O.M UKE 41 2021</t>
  </si>
  <si>
    <r>
      <t xml:space="preserve">3 </t>
    </r>
    <r>
      <rPr>
        <sz val="9"/>
        <color indexed="8"/>
        <rFont val="Calibri"/>
        <family val="2"/>
      </rPr>
      <t>Registrert rekreasjonsfiske utgjør 783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</si>
  <si>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</si>
  <si>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482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</si>
  <si>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7 651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</si>
</sst>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</font>
    <font>
      <sz val="13"/>
      <color theme="1"/>
      <name val="Calibri"/>
    </font>
    <font>
      <sz val="9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b/>
      <sz val="13"/>
      <color theme="5" tint="-0.249977111117893"/>
      <name val="Calibri"/>
    </font>
    <font>
      <sz val="12"/>
      <color theme="1"/>
      <name val="Calibri"/>
    </font>
    <font>
      <b/>
      <sz val="14"/>
      <color theme="5" tint="-0.249977111117893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9"/>
      <color indexed="8"/>
      <name val="Calibri"/>
    </font>
    <font>
      <sz val="11"/>
      <color theme="1"/>
      <name val="MS Sans Serif"/>
    </font>
    <font>
      <b/>
      <i/>
      <sz val="10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  <font>
      <i/>
      <sz val="10"/>
      <color theme="1"/>
      <name val="Calibri"/>
      <family val="2"/>
    </font>
    <font>
      <b/>
      <sz val="20"/>
      <color theme="4" tint="-0.249977111117893"/>
      <name val="Calibri"/>
    </font>
    <font>
      <b/>
      <sz val="16"/>
      <color theme="5" tint="-0.249977111117893"/>
      <name val="Calibri"/>
    </font>
    <font>
      <sz val="14"/>
      <color theme="1"/>
      <name val="Calibri"/>
    </font>
    <font>
      <sz val="11"/>
      <color rgb="FFC00000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view="pageLayout" zoomScale="85" zoomScaleNormal="85" zoomScaleSheetLayoutView="100" zoomScalePageLayoutView="85" workbookViewId="0">
      <selection activeCell="G20" sqref="G20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9" t="s">
        <v>0</v>
      </c>
      <c r="C2" s="300"/>
      <c r="D2" s="300"/>
      <c r="E2" s="300"/>
      <c r="F2" s="300"/>
      <c r="G2" s="300"/>
      <c r="H2" s="300"/>
      <c r="I2" s="300"/>
      <c r="J2" s="301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6" t="s">
        <v>2</v>
      </c>
      <c r="D11" s="297"/>
      <c r="E11" s="296" t="s">
        <v>3</v>
      </c>
      <c r="F11" s="297"/>
      <c r="G11" s="296" t="s">
        <v>4</v>
      </c>
      <c r="H11" s="297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1061.47659</v>
      </c>
      <c r="G23" s="28">
        <f t="shared" si="0"/>
        <v>78630.777929999997</v>
      </c>
      <c r="H23" s="11">
        <f t="shared" si="0"/>
        <v>34061.222070000003</v>
      </c>
      <c r="I23" s="11">
        <f t="shared" si="0"/>
        <v>72260.681859999997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978.60525</f>
        <v>978.60524999999996</v>
      </c>
      <c r="G24" s="23">
        <f>78100.95764</f>
        <v>78100.957639999993</v>
      </c>
      <c r="H24" s="23">
        <f>E24-G24</f>
        <v>33798.042360000007</v>
      </c>
      <c r="I24" s="23">
        <f>71802.20116</f>
        <v>71802.201159999997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82.87134</f>
        <v>82.871340000000004</v>
      </c>
      <c r="G25" s="23">
        <f>529.82029</f>
        <v>529.82029</v>
      </c>
      <c r="H25" s="23">
        <f>E25-G25</f>
        <v>263.17971</v>
      </c>
      <c r="I25" s="23">
        <f>458.4807</f>
        <v>458.48070000000001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1451.6775399999999</v>
      </c>
      <c r="G26" s="11">
        <f t="shared" si="1"/>
        <v>215041.40813</v>
      </c>
      <c r="H26" s="11">
        <f t="shared" si="1"/>
        <v>42974.591870000004</v>
      </c>
      <c r="I26" s="11">
        <f t="shared" si="1"/>
        <v>223404.55718100001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1233.3807099999999</v>
      </c>
      <c r="G27" s="136">
        <f t="shared" si="2"/>
        <v>173984.36647000001</v>
      </c>
      <c r="H27" s="136">
        <f t="shared" si="2"/>
        <v>24937.633530000006</v>
      </c>
      <c r="I27" s="136">
        <f t="shared" si="2"/>
        <v>184162.88841100002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139.44926</f>
        <v>139.44926000000001</v>
      </c>
      <c r="G28" s="130">
        <f>43890.51267-F57</f>
        <v>42995.512669999996</v>
      </c>
      <c r="H28" s="130">
        <f t="shared" ref="H28:H40" si="3">E28-G28</f>
        <v>7602.4873300000036</v>
      </c>
      <c r="I28" s="130">
        <f>44301.98161-H57</f>
        <v>42613.981610000003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474.50651</f>
        <v>474.50650999999999</v>
      </c>
      <c r="G29" s="130">
        <f>49645.9819-F58</f>
        <v>47227.981899999999</v>
      </c>
      <c r="H29" s="130">
        <f t="shared" si="3"/>
        <v>4865.0181000000011</v>
      </c>
      <c r="I29" s="130">
        <f>53494.5112-H58</f>
        <v>50623.511200000001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154.41551</f>
        <v>154.41551000000001</v>
      </c>
      <c r="G30" s="130">
        <f>46274.58487-F59</f>
        <v>44305.584869999999</v>
      </c>
      <c r="H30" s="130">
        <f t="shared" si="3"/>
        <v>6430.4151300000012</v>
      </c>
      <c r="I30" s="130">
        <f>47935.305389-H59</f>
        <v>44239.305389000001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67.00943</f>
        <v>67.009429999999995</v>
      </c>
      <c r="G31" s="130">
        <f>34173.28703-F60</f>
        <v>33030.28703</v>
      </c>
      <c r="H31" s="130">
        <f t="shared" si="3"/>
        <v>164.7129700000005</v>
      </c>
      <c r="I31" s="130">
        <f>38431.090212-H60</f>
        <v>36629.090212000003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398</v>
      </c>
      <c r="G32" s="130">
        <f>F56</f>
        <v>6425</v>
      </c>
      <c r="H32" s="130">
        <f t="shared" si="3"/>
        <v>5875</v>
      </c>
      <c r="I32" s="130">
        <f>H56</f>
        <v>10057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149.99425</f>
        <v>149.99424999999999</v>
      </c>
      <c r="G33" s="136">
        <f>20033.73889</f>
        <v>20033.738890000001</v>
      </c>
      <c r="H33" s="136">
        <f t="shared" si="3"/>
        <v>11701.261109999999</v>
      </c>
      <c r="I33" s="136">
        <f>20895.65614</f>
        <v>20895.656139999999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68.302580000000006</v>
      </c>
      <c r="G34" s="136">
        <f>G35+G36</f>
        <v>21023.302769999998</v>
      </c>
      <c r="H34" s="136">
        <f t="shared" si="3"/>
        <v>6335.6972300000016</v>
      </c>
      <c r="I34" s="136">
        <f>I35+I36</f>
        <v>18346.012630000001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65.30258</f>
        <v>65.302580000000006</v>
      </c>
      <c r="G35" s="136">
        <f>22706.30277-F61-F62</f>
        <v>20339.302769999998</v>
      </c>
      <c r="H35" s="130">
        <f t="shared" si="3"/>
        <v>5519.6972300000016</v>
      </c>
      <c r="I35" s="130">
        <f>21437.01263-H61-H62</f>
        <v>17216.012630000001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3</v>
      </c>
      <c r="G36" s="74">
        <f>F61</f>
        <v>684</v>
      </c>
      <c r="H36" s="74">
        <f t="shared" si="3"/>
        <v>816</v>
      </c>
      <c r="I36" s="74">
        <f>H61</f>
        <v>1130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4.246</f>
        <v>4.2460000000000004</v>
      </c>
      <c r="G38" s="102">
        <f>473.56373</f>
        <v>473.56373000000002</v>
      </c>
      <c r="H38" s="102">
        <f t="shared" si="3"/>
        <v>497.43626999999998</v>
      </c>
      <c r="I38" s="102">
        <f>497.7227</f>
        <v>497.72269999999997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1.98682</f>
        <v>1.98682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2567.1722</f>
        <v>2567.1722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2519.3899499999998</v>
      </c>
      <c r="G45" s="80">
        <f t="shared" si="4"/>
        <v>303266.05174000002</v>
      </c>
      <c r="H45" s="80">
        <f t="shared" si="4"/>
        <v>82013.886259999985</v>
      </c>
      <c r="I45" s="80">
        <f t="shared" si="4"/>
        <v>310257.95061999996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292" t="s">
        <v>49</v>
      </c>
      <c r="D53" s="292"/>
      <c r="E53" s="292"/>
      <c r="F53" s="292"/>
      <c r="G53" s="292"/>
      <c r="H53" s="292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293">
        <v>12300</v>
      </c>
      <c r="E56" s="11">
        <f>E60+E59+E58+E57</f>
        <v>398</v>
      </c>
      <c r="F56" s="11">
        <f>F60+F59+F58+F57</f>
        <v>6425</v>
      </c>
      <c r="G56" s="293">
        <f>D56-F56</f>
        <v>5875</v>
      </c>
      <c r="H56" s="11">
        <f>H60+H59+H58+H57</f>
        <v>10057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294"/>
      <c r="E57" s="130">
        <v>66</v>
      </c>
      <c r="F57" s="130">
        <v>895</v>
      </c>
      <c r="G57" s="294"/>
      <c r="H57" s="130">
        <v>1688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294"/>
      <c r="E58" s="130">
        <v>183</v>
      </c>
      <c r="F58" s="130">
        <v>2418</v>
      </c>
      <c r="G58" s="294"/>
      <c r="H58" s="130">
        <v>2871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294"/>
      <c r="E59" s="130">
        <v>68</v>
      </c>
      <c r="F59" s="130">
        <v>1969</v>
      </c>
      <c r="G59" s="294"/>
      <c r="H59" s="130">
        <v>3696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295"/>
      <c r="E60" s="196">
        <v>81</v>
      </c>
      <c r="F60" s="196">
        <v>1143</v>
      </c>
      <c r="G60" s="295"/>
      <c r="H60" s="196">
        <v>1802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3</v>
      </c>
      <c r="F61" s="98">
        <v>684</v>
      </c>
      <c r="G61" s="98">
        <f>D61-F61</f>
        <v>816</v>
      </c>
      <c r="H61" s="98">
        <v>1130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6" t="s">
        <v>2</v>
      </c>
      <c r="D106" s="297"/>
      <c r="E106" s="296" t="s">
        <v>3</v>
      </c>
      <c r="F106" s="298"/>
      <c r="G106" s="296" t="s">
        <v>4</v>
      </c>
      <c r="H106" s="297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64.759240000000005</v>
      </c>
      <c r="G117" s="11">
        <f t="shared" si="5"/>
        <v>36654.471409999998</v>
      </c>
      <c r="H117" s="11">
        <f t="shared" si="5"/>
        <v>-3968.4714100000019</v>
      </c>
      <c r="I117" s="11">
        <f t="shared" si="5"/>
        <v>44186.371659999997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54.9059</f>
        <v>54.905900000000003</v>
      </c>
      <c r="G118" s="23">
        <f>35921.6762</f>
        <v>35921.676200000002</v>
      </c>
      <c r="H118" s="23">
        <f>E118-G118</f>
        <v>-4018.6762000000017</v>
      </c>
      <c r="I118" s="23">
        <f>43417.83672</f>
        <v>43417.836719999999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9.85334</f>
        <v>9.8533399999999993</v>
      </c>
      <c r="G119" s="52">
        <f>732.79521</f>
        <v>732.79521</v>
      </c>
      <c r="H119" s="52">
        <f>E119-G119</f>
        <v>50.204790000000003</v>
      </c>
      <c r="I119" s="52">
        <f>768.53494</f>
        <v>768.53494000000001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702.87851999999998</v>
      </c>
      <c r="G120" s="11">
        <f t="shared" si="6"/>
        <v>36584.434029999997</v>
      </c>
      <c r="H120" s="11">
        <f t="shared" si="6"/>
        <v>31625.565970000003</v>
      </c>
      <c r="I120" s="11">
        <f t="shared" si="6"/>
        <v>39184.18578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546.21123999999998</v>
      </c>
      <c r="G121" s="136">
        <f t="shared" si="7"/>
        <v>27967.170149999998</v>
      </c>
      <c r="H121" s="136">
        <f t="shared" si="7"/>
        <v>23041.829850000002</v>
      </c>
      <c r="I121" s="136">
        <f t="shared" si="7"/>
        <v>31520.35917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97.11991</f>
        <v>97.119910000000004</v>
      </c>
      <c r="G122" s="130">
        <f>3364.85573</f>
        <v>3364.8557300000002</v>
      </c>
      <c r="H122" s="130">
        <f t="shared" ref="H122:H129" si="8">E122-G122</f>
        <v>10293.144270000001</v>
      </c>
      <c r="I122" s="130">
        <f>4062.653</f>
        <v>4062.6529999999998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117.5004</f>
        <v>117.5004</v>
      </c>
      <c r="G123" s="130">
        <f>9661.94831</f>
        <v>9661.9483099999998</v>
      </c>
      <c r="H123" s="130">
        <f t="shared" si="8"/>
        <v>4878.0516900000002</v>
      </c>
      <c r="I123" s="130">
        <f>10246.5313</f>
        <v>10246.531300000001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263.65171</f>
        <v>263.65170999999998</v>
      </c>
      <c r="G124" s="130">
        <f>7674.41547</f>
        <v>7674.4154699999999</v>
      </c>
      <c r="H124" s="130">
        <f t="shared" si="8"/>
        <v>6123.5845300000001</v>
      </c>
      <c r="I124" s="130">
        <f>11034.47839</f>
        <v>11034.47839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67.93922</f>
        <v>67.939220000000006</v>
      </c>
      <c r="G125" s="130">
        <f>7265.95064</f>
        <v>7265.95064</v>
      </c>
      <c r="H125" s="130">
        <f t="shared" si="8"/>
        <v>1747.04936</v>
      </c>
      <c r="I125" s="130">
        <f>6176.69648</f>
        <v>6176.6964799999996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63.43621</f>
        <v>63.436210000000003</v>
      </c>
      <c r="G126" s="136">
        <f>6690.51741</f>
        <v>6690.5174100000004</v>
      </c>
      <c r="H126" s="136">
        <f t="shared" si="8"/>
        <v>5217.4825899999996</v>
      </c>
      <c r="I126" s="136">
        <f>6070.44938</f>
        <v>6070.44938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93.23107</f>
        <v>93.231070000000003</v>
      </c>
      <c r="G127" s="78">
        <f>1926.74647</f>
        <v>1926.74647</v>
      </c>
      <c r="H127" s="78">
        <f t="shared" si="8"/>
        <v>3366.25353</v>
      </c>
      <c r="I127" s="78">
        <f>1593.37723</f>
        <v>1593.3772300000001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0.011</f>
        <v>1.0999999999999999E-2</v>
      </c>
      <c r="G128" s="102">
        <f>22.07778</f>
        <v>22.077780000000001</v>
      </c>
      <c r="H128" s="102">
        <f t="shared" si="8"/>
        <v>367.92221999999998</v>
      </c>
      <c r="I128" s="102">
        <f>35.20317</f>
        <v>35.20317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0.06524</f>
        <v>6.5240000000000006E-2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767.71399999999994</v>
      </c>
      <c r="G133" s="80">
        <f t="shared" si="9"/>
        <v>73569.751019999996</v>
      </c>
      <c r="H133" s="80">
        <f>H117+H120+H128+H129+H130+H131+H132</f>
        <v>28066.248980000015</v>
      </c>
      <c r="I133" s="80">
        <f>I117+I120+I128+I129+I130+I131+I132</f>
        <v>83850.404589999991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165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1595.45481</v>
      </c>
      <c r="G154" s="11">
        <f t="shared" si="10"/>
        <v>53518.778939999997</v>
      </c>
      <c r="H154" s="11">
        <f t="shared" si="10"/>
        <v>8664.2210600000017</v>
      </c>
      <c r="I154" s="11">
        <f t="shared" si="10"/>
        <v>51728.578260000002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1369.12547</f>
        <v>1369.12547</v>
      </c>
      <c r="G155" s="23">
        <f>45517.61513</f>
        <v>45517.615129999998</v>
      </c>
      <c r="H155" s="23">
        <f>E155-G155</f>
        <v>4147.3848700000017</v>
      </c>
      <c r="I155" s="23">
        <f>45608.83049</f>
        <v>45608.83049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226.32934</f>
        <v>226.32934</v>
      </c>
      <c r="G156" s="23">
        <f>8001.16381</f>
        <v>8001.16381</v>
      </c>
      <c r="H156" s="23">
        <f>E156-G156</f>
        <v>4016.83619</v>
      </c>
      <c r="I156" s="23">
        <f>6119.74777</f>
        <v>6119.7477699999999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37.206</f>
        <v>37.206000000000003</v>
      </c>
      <c r="G158" s="98">
        <v>47836.396179999996</v>
      </c>
      <c r="H158" s="98">
        <f>E158-G158</f>
        <v>1170.6038200000039</v>
      </c>
      <c r="I158" s="98">
        <f>29677.36107</f>
        <v>29677.361069999999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1188.2537400000001</v>
      </c>
      <c r="G159" s="97">
        <f t="shared" ref="G159" si="11">G160+G165+G168</f>
        <v>55836.242159999994</v>
      </c>
      <c r="H159" s="97">
        <f>H160+H165+H168</f>
        <v>13937.757840000002</v>
      </c>
      <c r="I159" s="97">
        <f>I160+I165+I168</f>
        <v>58359.008849999998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998.51458000000002</v>
      </c>
      <c r="G160" s="128">
        <f>G161+G162+G164+G163</f>
        <v>42472.204149999998</v>
      </c>
      <c r="H160" s="128">
        <f>H161+H162+H163+H164</f>
        <v>9512.7958500000022</v>
      </c>
      <c r="I160" s="128">
        <f>I161+I162+I163+I164</f>
        <v>45617.80586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183.45721</f>
        <v>183.45721</v>
      </c>
      <c r="G161" s="130">
        <v>8417.5158599999995</v>
      </c>
      <c r="H161" s="130">
        <f>E161-G161</f>
        <v>6889.4841400000005</v>
      </c>
      <c r="I161" s="130">
        <f>8812.60528</f>
        <v>8812.6052799999998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306.93201</f>
        <v>306.93200999999999</v>
      </c>
      <c r="G162" s="130">
        <v>12037.868939999998</v>
      </c>
      <c r="H162" s="130">
        <f>E162-G162</f>
        <v>821.13106000000153</v>
      </c>
      <c r="I162" s="130">
        <f>11022.43979</f>
        <v>11022.43979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253.16556</f>
        <v>253.16556</v>
      </c>
      <c r="G163" s="130">
        <v>10806.63798</v>
      </c>
      <c r="H163" s="130">
        <f>E163-G163</f>
        <v>2888.3620200000005</v>
      </c>
      <c r="I163" s="130">
        <f>12152.55019</f>
        <v>12152.55019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254.9598</f>
        <v>254.9598</v>
      </c>
      <c r="G164" s="130">
        <v>11210.18137</v>
      </c>
      <c r="H164" s="130">
        <f>E164-G164</f>
        <v>-1086.1813700000002</v>
      </c>
      <c r="I164" s="130">
        <f>13630.2106</f>
        <v>13630.2106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179.83151</f>
        <v>179.83151000000001</v>
      </c>
      <c r="G168" s="78">
        <f>7355.42598</f>
        <v>7355.42598</v>
      </c>
      <c r="H168" s="78">
        <f t="shared" si="12"/>
        <v>2179.57402</v>
      </c>
      <c r="I168" s="78">
        <f>7362.0518</f>
        <v>7362.0518000000002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2.383</f>
        <v>2.383</v>
      </c>
      <c r="G169" s="143">
        <f>26.85627</f>
        <v>26.856269999999999</v>
      </c>
      <c r="H169" s="143">
        <f t="shared" si="12"/>
        <v>115.14373000000001</v>
      </c>
      <c r="I169" s="143">
        <f>21.06976</f>
        <v>21.069759999999999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2.41374</f>
        <v>2.4137400000000002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2826.5932899999993</v>
      </c>
      <c r="G176" s="80">
        <f>G154+G158+G159+G169+G170+G171+G172+G173+G174</f>
        <v>159953.07634999996</v>
      </c>
      <c r="H176" s="80">
        <f>H154+H158+H159+H169+H170+H171+H172+H173+H174</f>
        <v>23459.923650000026</v>
      </c>
      <c r="I176" s="80">
        <f>I154+I158+I159+I169+I170+I171+I172+I173+I174</f>
        <v>142471.80964000002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16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305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126.3402</f>
        <v>126.3402</v>
      </c>
      <c r="F201" s="276">
        <f>2049.629</f>
        <v>2049.6289999999999</v>
      </c>
      <c r="G201" s="45">
        <f>D201-F201-F202</f>
        <v>1469.02115</v>
      </c>
      <c r="H201" s="276">
        <f>1644.95485</f>
        <v>1644.9548500000001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0.03554</f>
        <v>3.5540000000000002E-2</v>
      </c>
      <c r="F202" s="156">
        <f>1563.34985</f>
        <v>1563.3498500000001</v>
      </c>
      <c r="G202" s="217"/>
      <c r="H202" s="156">
        <f>1934.27604</f>
        <v>1934.27604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0.04768</f>
        <v>4.768E-2</v>
      </c>
      <c r="F203" s="176">
        <f>51.02618</f>
        <v>51.026179999999997</v>
      </c>
      <c r="G203" s="176">
        <f>D203-F203</f>
        <v>148.97381999999999</v>
      </c>
      <c r="H203" s="176">
        <f>88.43892</f>
        <v>88.438919999999996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47.880200000000002</v>
      </c>
      <c r="F204" s="185">
        <f>F205+F206+F207</f>
        <v>7736.4099199999991</v>
      </c>
      <c r="G204" s="185">
        <f>D204-F204</f>
        <v>-114.40991999999915</v>
      </c>
      <c r="H204" s="185">
        <f>H205+H206+H207</f>
        <v>8067.1105800000005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3.71696</f>
        <v>3.7169599999999998</v>
      </c>
      <c r="F205" s="130">
        <f>3948.69078</f>
        <v>3948.6907799999999</v>
      </c>
      <c r="G205" s="130"/>
      <c r="H205" s="130">
        <f>4074.83818</f>
        <v>4074.8381800000002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23.54867</f>
        <v>23.548670000000001</v>
      </c>
      <c r="F206" s="130">
        <f>2470.94469</f>
        <v>2470.9446899999998</v>
      </c>
      <c r="G206" s="130"/>
      <c r="H206" s="130">
        <f>2491.80445</f>
        <v>2491.8044500000001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20.61457</f>
        <v>20.614570000000001</v>
      </c>
      <c r="F207" s="196">
        <f>1316.77445</f>
        <v>1316.7744499999999</v>
      </c>
      <c r="G207" s="196"/>
      <c r="H207" s="196">
        <f>1500.46795</f>
        <v>1500.46795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174.30362</v>
      </c>
      <c r="F210" s="198">
        <f>F201+F202+F203+F204+F208+F209</f>
        <v>11400.414949999998</v>
      </c>
      <c r="G210" s="198">
        <f>D210-F210</f>
        <v>1574.5850500000015</v>
      </c>
      <c r="H210" s="198">
        <f>H201+H202+H203+H204+H208+H209</f>
        <v>11735.409589999999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5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5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237.67297</f>
        <v>237.67296999999999</v>
      </c>
      <c r="F230" s="124">
        <f>36523.56115</f>
        <v>36523.561150000001</v>
      </c>
      <c r="G230" s="124">
        <f>D230-F230</f>
        <v>7615.4388499999986</v>
      </c>
      <c r="H230" s="124">
        <f>42552.44881</f>
        <v>42552.448810000002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0.36679</f>
        <v>0.36679</v>
      </c>
      <c r="F231" s="124">
        <f>58.5716</f>
        <v>58.571599999999997</v>
      </c>
      <c r="G231" s="124">
        <f>D231-F231</f>
        <v>41.428400000000003</v>
      </c>
      <c r="H231" s="124">
        <f>30.02648</f>
        <v>30.026479999999999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238.03976</v>
      </c>
      <c r="F233" s="190">
        <f>SUM(F230:F232)</f>
        <v>36582.132750000004</v>
      </c>
      <c r="G233" s="190">
        <f>D233-F233</f>
        <v>7708.8672499999957</v>
      </c>
      <c r="H233" s="190">
        <f>SUM(H230:H232)</f>
        <v>42582.475290000002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12"/>
      <c r="G234" s="212"/>
      <c r="H234" s="212"/>
      <c r="I234" s="212"/>
      <c r="J234" s="216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10.16539</f>
        <v>10.16539</v>
      </c>
      <c r="F284" s="124">
        <f>352.95937</f>
        <v>352.95936999999998</v>
      </c>
      <c r="G284" s="45">
        <f>D284-F284-F285</f>
        <v>-183.23541999999998</v>
      </c>
      <c r="H284" s="124">
        <f>471.75464</f>
        <v>471.75463999999999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50.02419</f>
        <v>50.024189999999997</v>
      </c>
      <c r="F285" s="124">
        <f>1695.27605</f>
        <v>1695.2760499999999</v>
      </c>
      <c r="G285" s="140"/>
      <c r="H285" s="124">
        <f>977.80134</f>
        <v>977.80133999999998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0.9702</f>
        <v>0.97019999999999995</v>
      </c>
      <c r="G286" s="124">
        <f>D286-F286</f>
        <v>4.0297999999999998</v>
      </c>
      <c r="H286" s="168">
        <f>1.389</f>
        <v>1.389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</f>
        <v>0</v>
      </c>
      <c r="F287" s="168">
        <f>6.84606</f>
        <v>6.8460599999999996</v>
      </c>
      <c r="G287" s="124"/>
      <c r="H287" s="168">
        <f>2.83352</f>
        <v>2.83352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60.189579999999999</v>
      </c>
      <c r="F288" s="190">
        <f>SUM(F284:F287)</f>
        <v>2056.05168</v>
      </c>
      <c r="G288" s="190">
        <f>D288-F288</f>
        <v>-186.05168000000003</v>
      </c>
      <c r="H288" s="190">
        <f>H284+H285+H286+H287</f>
        <v>1453.7784999999999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5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1064.5982999999999</v>
      </c>
      <c r="G314" s="253">
        <f t="shared" si="14"/>
        <v>9613.9558699999998</v>
      </c>
      <c r="H314" s="253">
        <f>H318+H317+H316+H315</f>
        <v>2490.0441300000002</v>
      </c>
      <c r="I314" s="253">
        <f t="shared" si="14"/>
        <v>12643.735850000001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1012.4055</f>
        <v>1012.4055</v>
      </c>
      <c r="G315" s="257">
        <f>6633.60473</f>
        <v>6633.60473</v>
      </c>
      <c r="H315" s="257">
        <f t="shared" ref="H315:H319" si="15">E315-G315</f>
        <v>-1375.60473</v>
      </c>
      <c r="I315" s="257">
        <f>7768.21189</f>
        <v>7768.2118899999996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564.91155</f>
        <v>564.91155000000003</v>
      </c>
      <c r="H316" s="257">
        <f t="shared" si="15"/>
        <v>804.08844999999997</v>
      </c>
      <c r="I316" s="257">
        <f>1066.7822</f>
        <v>1066.7822000000001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9.06</f>
        <v>9.06</v>
      </c>
      <c r="G317" s="257">
        <f>1551.71179</f>
        <v>1551.7117900000001</v>
      </c>
      <c r="H317" s="257">
        <f t="shared" si="15"/>
        <v>-268.71179000000006</v>
      </c>
      <c r="I317" s="257">
        <f>1449.30171</f>
        <v>1449.30171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43.1328</f>
        <v>43.132800000000003</v>
      </c>
      <c r="G318" s="257">
        <f>863.7278</f>
        <v>863.7278</v>
      </c>
      <c r="H318" s="257">
        <f t="shared" si="15"/>
        <v>3330.2721999999999</v>
      </c>
      <c r="I318" s="257">
        <f>2359.44005</f>
        <v>2359.4400500000002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14.28592</f>
        <v>14.285920000000001</v>
      </c>
      <c r="G319" s="268">
        <f>4562.7196</f>
        <v>4562.7196000000004</v>
      </c>
      <c r="H319" s="268">
        <f t="shared" si="15"/>
        <v>937.28039999999964</v>
      </c>
      <c r="I319" s="268">
        <f>2203.21413</f>
        <v>2203.2141299999998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123.66887</v>
      </c>
      <c r="G320" s="269">
        <f>G322+G321</f>
        <v>4420.5439699999997</v>
      </c>
      <c r="H320" s="269">
        <f>E320-G320</f>
        <v>3579.4560300000003</v>
      </c>
      <c r="I320" s="269">
        <f>I322+I321</f>
        <v>2900.2436600000001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8.76015</f>
        <v>8.7601499999999994</v>
      </c>
      <c r="G321" s="257">
        <f>1269.99815</f>
        <v>1269.9981499999999</v>
      </c>
      <c r="H321" s="257"/>
      <c r="I321" s="257">
        <f>13.22733</f>
        <v>13.22733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114.90872</f>
        <v>114.90872</v>
      </c>
      <c r="G322" s="278">
        <f>3150.54582</f>
        <v>3150.5458199999998</v>
      </c>
      <c r="H322" s="278"/>
      <c r="I322" s="278">
        <f>2887.01633</f>
        <v>2887.0163299999999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0.4293</f>
        <v>0.42930000000000001</v>
      </c>
      <c r="H323" s="268">
        <f>E323-G323</f>
        <v>9.5707000000000004</v>
      </c>
      <c r="I323" s="268">
        <f>0.3915</f>
        <v>0.39150000000000001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1.19412</f>
        <v>1.1941200000000001</v>
      </c>
      <c r="G324" s="268">
        <f>236.90332</f>
        <v>236.90332000000001</v>
      </c>
      <c r="H324" s="268">
        <f>E324-G324</f>
        <v>-236.90332000000001</v>
      </c>
      <c r="I324" s="268">
        <f>31.00836</f>
        <v>31.00836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1203.74721</v>
      </c>
      <c r="G325" s="287">
        <f t="shared" si="16"/>
        <v>18834.552060000002</v>
      </c>
      <c r="H325" s="287">
        <f>H314+H319+H320+H323+H324</f>
        <v>6779.44794</v>
      </c>
      <c r="I325" s="287">
        <f t="shared" si="16"/>
        <v>17778.593500000003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8"/>
      <c r="E348" s="209">
        <f>0</f>
        <v>0</v>
      </c>
      <c r="F348" s="209">
        <f>1081.99515</f>
        <v>1081.99515</v>
      </c>
      <c r="G348" s="210"/>
      <c r="H348" s="209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1"/>
      <c r="E349" s="213">
        <f>0</f>
        <v>0</v>
      </c>
      <c r="F349" s="213">
        <f>304.98618</f>
        <v>304.98617999999999</v>
      </c>
      <c r="G349" s="214"/>
      <c r="H349" s="213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56.383499999999998</v>
      </c>
      <c r="F353" s="36">
        <f>SUM(F354:F355)</f>
        <v>523.88721999999996</v>
      </c>
      <c r="G353" s="88">
        <f>D353-F353</f>
        <v>1036.1127799999999</v>
      </c>
      <c r="H353" s="36">
        <f>SUM(H354:H355)</f>
        <v>455.44510000000002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42.716</f>
        <v>42.716000000000001</v>
      </c>
      <c r="F354" s="30">
        <f>423.54348</f>
        <v>423.54347999999999</v>
      </c>
      <c r="G354" s="100"/>
      <c r="H354" s="30">
        <f>391.72012</f>
        <v>391.72012000000001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13.6675</f>
        <v>13.6675</v>
      </c>
      <c r="F355" s="30">
        <f>100.34374</f>
        <v>100.34374</v>
      </c>
      <c r="G355" s="111"/>
      <c r="H355" s="30">
        <f>63.72498</f>
        <v>63.724980000000002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56.383499999999998</v>
      </c>
      <c r="F357" s="42">
        <f>F347+F350+F353+F356</f>
        <v>3721.0164199999999</v>
      </c>
      <c r="G357" s="43">
        <f>SUM(G347:G356)</f>
        <v>784.98358000000007</v>
      </c>
      <c r="H357" s="42">
        <f>H347+H350+H353+H356</f>
        <v>3568.3370599999998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12"/>
      <c r="D359" s="204"/>
      <c r="E359" s="212"/>
      <c r="F359" s="212"/>
      <c r="G359" s="212"/>
      <c r="H359" s="212"/>
      <c r="I359" s="212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106:D106"/>
    <mergeCell ref="E106:F106"/>
    <mergeCell ref="G106:H10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UKE_41_2022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2022-10-19T10:39:27Z</dcterms:modified>
</cp:coreProperties>
</file>