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E14D9A63-2D7B-485B-B844-1EA9396A98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22" i="1"/>
  <c r="G422" i="1"/>
  <c r="F422" i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E417" i="1"/>
  <c r="H416" i="1"/>
  <c r="G416" i="1"/>
  <c r="F416" i="1"/>
  <c r="E416" i="1"/>
  <c r="H415" i="1"/>
  <c r="F415" i="1"/>
  <c r="E415" i="1"/>
  <c r="H414" i="1"/>
  <c r="F414" i="1"/>
  <c r="F413" i="1" s="1"/>
  <c r="E414" i="1"/>
  <c r="E413" i="1" s="1"/>
  <c r="E423" i="1" s="1"/>
  <c r="H413" i="1"/>
  <c r="H423" i="1" s="1"/>
  <c r="I390" i="1"/>
  <c r="H390" i="1"/>
  <c r="G390" i="1"/>
  <c r="F390" i="1"/>
  <c r="I389" i="1"/>
  <c r="G389" i="1"/>
  <c r="H389" i="1" s="1"/>
  <c r="F389" i="1"/>
  <c r="I388" i="1"/>
  <c r="G388" i="1"/>
  <c r="G386" i="1" s="1"/>
  <c r="H386" i="1" s="1"/>
  <c r="F388" i="1"/>
  <c r="I387" i="1"/>
  <c r="G387" i="1"/>
  <c r="F387" i="1"/>
  <c r="I386" i="1"/>
  <c r="F386" i="1"/>
  <c r="I385" i="1"/>
  <c r="H385" i="1"/>
  <c r="G385" i="1"/>
  <c r="F385" i="1"/>
  <c r="I384" i="1"/>
  <c r="H384" i="1"/>
  <c r="G384" i="1"/>
  <c r="F384" i="1"/>
  <c r="F380" i="1" s="1"/>
  <c r="F391" i="1" s="1"/>
  <c r="I383" i="1"/>
  <c r="I380" i="1" s="1"/>
  <c r="I391" i="1" s="1"/>
  <c r="H383" i="1"/>
  <c r="G383" i="1"/>
  <c r="F383" i="1"/>
  <c r="I382" i="1"/>
  <c r="H382" i="1"/>
  <c r="G382" i="1"/>
  <c r="F382" i="1"/>
  <c r="I381" i="1"/>
  <c r="H381" i="1"/>
  <c r="G381" i="1"/>
  <c r="F381" i="1"/>
  <c r="H380" i="1"/>
  <c r="G380" i="1"/>
  <c r="D380" i="1"/>
  <c r="D391" i="1" s="1"/>
  <c r="H372" i="1"/>
  <c r="F372" i="1"/>
  <c r="D354" i="1"/>
  <c r="G354" i="1" s="1"/>
  <c r="H353" i="1"/>
  <c r="G353" i="1"/>
  <c r="F353" i="1"/>
  <c r="E353" i="1"/>
  <c r="H352" i="1"/>
  <c r="F352" i="1"/>
  <c r="G352" i="1" s="1"/>
  <c r="E352" i="1"/>
  <c r="H351" i="1"/>
  <c r="G351" i="1"/>
  <c r="F351" i="1"/>
  <c r="E351" i="1"/>
  <c r="H350" i="1"/>
  <c r="H354" i="1" s="1"/>
  <c r="F350" i="1"/>
  <c r="F354" i="1" s="1"/>
  <c r="E350" i="1"/>
  <c r="E354" i="1" s="1"/>
  <c r="D343" i="1"/>
  <c r="D299" i="1"/>
  <c r="H298" i="1"/>
  <c r="G298" i="1"/>
  <c r="F298" i="1"/>
  <c r="E298" i="1"/>
  <c r="H297" i="1"/>
  <c r="F297" i="1"/>
  <c r="E297" i="1"/>
  <c r="H296" i="1"/>
  <c r="F296" i="1"/>
  <c r="F295" i="1" s="1"/>
  <c r="E296" i="1"/>
  <c r="E295" i="1" s="1"/>
  <c r="E299" i="1" s="1"/>
  <c r="H295" i="1"/>
  <c r="H299" i="1" s="1"/>
  <c r="D253" i="1"/>
  <c r="H252" i="1"/>
  <c r="F252" i="1"/>
  <c r="G252" i="1" s="1"/>
  <c r="E252" i="1"/>
  <c r="H251" i="1"/>
  <c r="F251" i="1"/>
  <c r="E251" i="1"/>
  <c r="E249" i="1" s="1"/>
  <c r="E253" i="1" s="1"/>
  <c r="H250" i="1"/>
  <c r="H249" i="1" s="1"/>
  <c r="H253" i="1" s="1"/>
  <c r="F250" i="1"/>
  <c r="F249" i="1" s="1"/>
  <c r="E250" i="1"/>
  <c r="H207" i="1"/>
  <c r="D207" i="1"/>
  <c r="H206" i="1"/>
  <c r="F206" i="1"/>
  <c r="G206" i="1" s="1"/>
  <c r="E206" i="1"/>
  <c r="H205" i="1"/>
  <c r="F205" i="1"/>
  <c r="F207" i="1" s="1"/>
  <c r="G207" i="1" s="1"/>
  <c r="E205" i="1"/>
  <c r="H204" i="1"/>
  <c r="F204" i="1"/>
  <c r="G204" i="1" s="1"/>
  <c r="E204" i="1"/>
  <c r="E207" i="1" s="1"/>
  <c r="D184" i="1"/>
  <c r="H183" i="1"/>
  <c r="F183" i="1"/>
  <c r="G183" i="1" s="1"/>
  <c r="E183" i="1"/>
  <c r="H182" i="1"/>
  <c r="G182" i="1"/>
  <c r="F182" i="1"/>
  <c r="E182" i="1"/>
  <c r="H181" i="1"/>
  <c r="F181" i="1"/>
  <c r="E181" i="1"/>
  <c r="H180" i="1"/>
  <c r="H178" i="1" s="1"/>
  <c r="F180" i="1"/>
  <c r="F178" i="1" s="1"/>
  <c r="E180" i="1"/>
  <c r="E178" i="1" s="1"/>
  <c r="H179" i="1"/>
  <c r="F179" i="1"/>
  <c r="E179" i="1"/>
  <c r="H177" i="1"/>
  <c r="F177" i="1"/>
  <c r="G177" i="1" s="1"/>
  <c r="E177" i="1"/>
  <c r="H176" i="1"/>
  <c r="F176" i="1"/>
  <c r="E176" i="1"/>
  <c r="H175" i="1"/>
  <c r="H184" i="1" s="1"/>
  <c r="G175" i="1"/>
  <c r="F175" i="1"/>
  <c r="E175" i="1"/>
  <c r="D167" i="1"/>
  <c r="D169" i="1" s="1"/>
  <c r="I148" i="1"/>
  <c r="G148" i="1"/>
  <c r="H148" i="1" s="1"/>
  <c r="F148" i="1"/>
  <c r="I147" i="1"/>
  <c r="H147" i="1"/>
  <c r="G147" i="1"/>
  <c r="F147" i="1"/>
  <c r="H146" i="1"/>
  <c r="H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I139" i="1" s="1"/>
  <c r="G140" i="1"/>
  <c r="H140" i="1" s="1"/>
  <c r="H139" i="1" s="1"/>
  <c r="F140" i="1"/>
  <c r="G139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I150" i="1" s="1"/>
  <c r="G134" i="1"/>
  <c r="G133" i="1" s="1"/>
  <c r="F135" i="1"/>
  <c r="F134" i="1"/>
  <c r="F133" i="1" s="1"/>
  <c r="E134" i="1"/>
  <c r="E133" i="1" s="1"/>
  <c r="D134" i="1"/>
  <c r="D133" i="1" s="1"/>
  <c r="I132" i="1"/>
  <c r="H132" i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F128" i="1" s="1"/>
  <c r="F150" i="1" s="1"/>
  <c r="I128" i="1"/>
  <c r="G128" i="1"/>
  <c r="E128" i="1"/>
  <c r="E150" i="1" s="1"/>
  <c r="D128" i="1"/>
  <c r="D150" i="1" s="1"/>
  <c r="C126" i="1"/>
  <c r="I106" i="1"/>
  <c r="G106" i="1"/>
  <c r="H106" i="1" s="1"/>
  <c r="F106" i="1"/>
  <c r="I105" i="1"/>
  <c r="H105" i="1"/>
  <c r="G105" i="1"/>
  <c r="F105" i="1"/>
  <c r="H104" i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G96" i="1" s="1"/>
  <c r="G95" i="1" s="1"/>
  <c r="F100" i="1"/>
  <c r="I99" i="1"/>
  <c r="H99" i="1"/>
  <c r="G99" i="1"/>
  <c r="F99" i="1"/>
  <c r="I98" i="1"/>
  <c r="G98" i="1"/>
  <c r="H98" i="1" s="1"/>
  <c r="F98" i="1"/>
  <c r="I97" i="1"/>
  <c r="I96" i="1" s="1"/>
  <c r="I95" i="1" s="1"/>
  <c r="H97" i="1"/>
  <c r="G97" i="1"/>
  <c r="F97" i="1"/>
  <c r="F96" i="1"/>
  <c r="F95" i="1" s="1"/>
  <c r="E96" i="1"/>
  <c r="E95" i="1" s="1"/>
  <c r="D96" i="1"/>
  <c r="D95" i="1" s="1"/>
  <c r="I94" i="1"/>
  <c r="H94" i="1"/>
  <c r="G94" i="1"/>
  <c r="F94" i="1"/>
  <c r="I93" i="1"/>
  <c r="G93" i="1"/>
  <c r="H93" i="1" s="1"/>
  <c r="F93" i="1"/>
  <c r="F92" i="1" s="1"/>
  <c r="I92" i="1"/>
  <c r="I107" i="1" s="1"/>
  <c r="E92" i="1"/>
  <c r="E107" i="1" s="1"/>
  <c r="D92" i="1"/>
  <c r="D107" i="1" s="1"/>
  <c r="C89" i="1"/>
  <c r="H85" i="1"/>
  <c r="F85" i="1"/>
  <c r="D85" i="1"/>
  <c r="G61" i="1"/>
  <c r="G60" i="1"/>
  <c r="H55" i="1"/>
  <c r="F55" i="1"/>
  <c r="G32" i="1" s="1"/>
  <c r="E55" i="1"/>
  <c r="F32" i="1" s="1"/>
  <c r="I43" i="1"/>
  <c r="G43" i="1"/>
  <c r="H43" i="1" s="1"/>
  <c r="F43" i="1"/>
  <c r="H42" i="1"/>
  <c r="I41" i="1"/>
  <c r="G41" i="1"/>
  <c r="H41" i="1" s="1"/>
  <c r="F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I34" i="1" s="1"/>
  <c r="I26" i="1" s="1"/>
  <c r="G35" i="1"/>
  <c r="G34" i="1" s="1"/>
  <c r="F35" i="1"/>
  <c r="F34" i="1" s="1"/>
  <c r="E35" i="1"/>
  <c r="H35" i="1" s="1"/>
  <c r="D34" i="1"/>
  <c r="I33" i="1"/>
  <c r="H33" i="1"/>
  <c r="G33" i="1"/>
  <c r="F33" i="1"/>
  <c r="I32" i="1"/>
  <c r="I31" i="1"/>
  <c r="H31" i="1"/>
  <c r="G31" i="1"/>
  <c r="F31" i="1"/>
  <c r="I30" i="1"/>
  <c r="G30" i="1"/>
  <c r="H30" i="1" s="1"/>
  <c r="F30" i="1"/>
  <c r="I29" i="1"/>
  <c r="H29" i="1"/>
  <c r="G29" i="1"/>
  <c r="F29" i="1"/>
  <c r="F27" i="1" s="1"/>
  <c r="I28" i="1"/>
  <c r="I27" i="1" s="1"/>
  <c r="G28" i="1"/>
  <c r="H28" i="1" s="1"/>
  <c r="F28" i="1"/>
  <c r="E27" i="1"/>
  <c r="E26" i="1" s="1"/>
  <c r="D27" i="1"/>
  <c r="D26" i="1"/>
  <c r="I25" i="1"/>
  <c r="G25" i="1"/>
  <c r="H25" i="1" s="1"/>
  <c r="H23" i="1" s="1"/>
  <c r="F25" i="1"/>
  <c r="I24" i="1"/>
  <c r="H24" i="1"/>
  <c r="G24" i="1"/>
  <c r="G23" i="1" s="1"/>
  <c r="F24" i="1"/>
  <c r="F23" i="1" s="1"/>
  <c r="I23" i="1"/>
  <c r="E23" i="1"/>
  <c r="E44" i="1" s="1"/>
  <c r="D23" i="1"/>
  <c r="D44" i="1" s="1"/>
  <c r="H16" i="1"/>
  <c r="F16" i="1"/>
  <c r="D16" i="1"/>
  <c r="F26" i="1" l="1"/>
  <c r="F44" i="1" s="1"/>
  <c r="H128" i="1"/>
  <c r="H34" i="1"/>
  <c r="G26" i="1"/>
  <c r="G44" i="1" s="1"/>
  <c r="H96" i="1"/>
  <c r="H95" i="1" s="1"/>
  <c r="G295" i="1"/>
  <c r="F299" i="1"/>
  <c r="G27" i="1"/>
  <c r="H32" i="1"/>
  <c r="H27" i="1" s="1"/>
  <c r="H92" i="1"/>
  <c r="F184" i="1"/>
  <c r="G184" i="1" s="1"/>
  <c r="G178" i="1"/>
  <c r="F423" i="1"/>
  <c r="G413" i="1"/>
  <c r="G249" i="1"/>
  <c r="F253" i="1"/>
  <c r="G253" i="1" s="1"/>
  <c r="G391" i="1"/>
  <c r="I44" i="1"/>
  <c r="G299" i="1"/>
  <c r="E184" i="1"/>
  <c r="H391" i="1"/>
  <c r="F107" i="1"/>
  <c r="G150" i="1"/>
  <c r="G92" i="1"/>
  <c r="G107" i="1" s="1"/>
  <c r="H135" i="1"/>
  <c r="H134" i="1" s="1"/>
  <c r="H133" i="1" s="1"/>
  <c r="G205" i="1"/>
  <c r="G55" i="1"/>
  <c r="H100" i="1"/>
  <c r="G350" i="1"/>
  <c r="H26" i="1" l="1"/>
  <c r="H44" i="1" s="1"/>
  <c r="H107" i="1"/>
  <c r="H150" i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<sst xmlns="http://schemas.openxmlformats.org/spreadsheetml/2006/main" count="359" uniqueCount="152">
  <si>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</si>
  <si>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</si>
  <si>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</si>
  <si>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</si>
  <si>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</si>
  <si>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</si>
  <si>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</si>
  <si>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</si>
  <si>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</si>
  <si>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</si>
  <si>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</si>
  <si>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</si>
  <si>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</si>
  <si>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</si>
  <si>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</si>
  <si>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</si>
  <si>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</si>
  <si>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</si>
  <si>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</si>
  <si>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</si>
  <si>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</si>
  <si>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</si>
  <si>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</si>
  <si>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</si>
  <si>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</si>
  <si>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</si>
  <si>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</si>
  <si>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</si>
  <si>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</si>
  <si>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</si>
  <si>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</si>
  <si>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</si>
  <si>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</si>
  <si>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</si>
  <si>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</si>
  <si>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</si>
  <si>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</si>
  <si>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</si>
  <si>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</si>
  <si>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</si>
  <si>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</si>
  <si>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</si>
  <si>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</si>
  <si>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</si>
  <si>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</si>
  <si>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</si>
  <si>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</si>
  <si>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</si>
  <si>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</si>
  <si>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</si>
  <si>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</si>
  <si>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</si>
  <si>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</si>
  <si>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</si>
  <si>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</si>
  <si>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</si>
  <si>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</si>
  <si>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</si>
  <si>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</si>
  <si>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</si>
  <si>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</si>
  <si>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</si>
  <si>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</si>
  <si>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</si>
  <si>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</si>
  <si>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</si>
  <si>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</si>
  <si>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</si>
  <si>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</si>
  <si>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</si>
  <si>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</si>
  <si>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</si>
  <si>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</si>
  <si>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</si>
  <si>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</si>
  <si>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</si>
  <si>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</si>
  <si>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</si>
  <si>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</si>
  <si>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</si>
  <si>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</si>
  <si>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</si>
  <si>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</si>
  <si>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</si>
  <si>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</si>
  <si>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</si>
  <si>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</si>
  <si>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</si>
  <si>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</si>
  <si>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</si>
  <si>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</si>
  <si>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</si>
  <si>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</si>
  <si>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</si>
  <si>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</si>
  <si>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</si>
  <si>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</si>
  <si>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</si>
  <si>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</si>
  <si>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</si>
  <si>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</si>
  <si>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</si>
  <si>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</si>
  <si>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</si>
  <si>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</si>
  <si>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</si>
  <si>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</si>
  <si>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</si>
  <si>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</si>
  <si>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</si>
  <si>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</si>
  <si>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</si>
  <si>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</si>
  <si>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</si>
  <si>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</si>
  <si>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</si>
  <si>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</si>
  <si>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</si>
  <si>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</si>
  <si>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</si>
  <si>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</si>
  <si>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</si>
  <si>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</si>
  <si>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</si>
  <si>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</si>
  <si>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</si>
  <si>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</si>
  <si>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</si>
  <si>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</si>
  <si>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</si>
  <si>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</si>
  <si>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</si>
  <si>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</si>
  <si>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</si>
  <si>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</si>
  <si>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</si>
  <si>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</si>
  <si>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</si>
  <si>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</si>
  <si>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</si>
  <si>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</si>
  <si>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</si>
  <si>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</si>
  <si>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</si>
  <si>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t>FANGST UKE 12</t>
  </si>
  <si>
    <t>FANGST T.O.M UKE 12</t>
  </si>
  <si>
    <t>RESTKVOTER UKE 12</t>
  </si>
  <si>
    <t>FANGST T.O.M UKE 12 2023</t>
  </si>
  <si>
    <r>
      <t xml:space="preserve">3 </t>
    </r>
    <r>
      <rPr>
        <sz val="9"/>
        <color indexed="8"/>
        <rFont val="Calibri"/>
        <family val="2"/>
      </rPr>
      <t>Registrert rekreasjonsfiske utgjør 349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</si>
  <si>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29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</si>
  <si>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114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</si>
  <si>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837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</si>
</sst>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85" zoomScaleNormal="85" zoomScaleSheetLayoutView="100" zoomScalePageLayoutView="85" workbookViewId="0">
      <selection activeCell="E10" sqref="E10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2" t="s">
        <v>123</v>
      </c>
      <c r="C2" s="293"/>
      <c r="D2" s="293"/>
      <c r="E2" s="293"/>
      <c r="F2" s="293"/>
      <c r="G2" s="293"/>
      <c r="H2" s="293"/>
      <c r="I2" s="293"/>
      <c r="J2" s="29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5"/>
      <c r="C9" s="296"/>
      <c r="D9" s="296"/>
      <c r="E9" s="296"/>
      <c r="F9" s="296"/>
      <c r="G9" s="296"/>
      <c r="H9" s="296"/>
      <c r="I9" s="296"/>
      <c r="J9" s="29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291" t="s">
        <v>142</v>
      </c>
      <c r="D17" s="291"/>
      <c r="E17" s="291"/>
      <c r="F17" s="291"/>
      <c r="G17" s="291"/>
      <c r="H17" s="29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144</v>
      </c>
      <c r="G22" s="68" t="s">
        <v>145</v>
      </c>
      <c r="H22" s="68" t="s">
        <v>146</v>
      </c>
      <c r="I22" s="68" t="s">
        <v>147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1119.8385000000001</v>
      </c>
      <c r="G23" s="28">
        <f t="shared" si="0"/>
        <v>24356.328239999999</v>
      </c>
      <c r="H23" s="11">
        <f t="shared" si="0"/>
        <v>36455.671760000005</v>
      </c>
      <c r="I23" s="11">
        <f t="shared" si="0"/>
        <v>29088.628230000002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1119.8385</f>
        <v>1119.8385000000001</v>
      </c>
      <c r="G24" s="23">
        <f>24071.57745</f>
        <v>24071.577450000001</v>
      </c>
      <c r="H24" s="23">
        <f>E24-G24</f>
        <v>35970.422550000003</v>
      </c>
      <c r="I24" s="23">
        <f>28984.37223</f>
        <v>28984.372230000001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284.75079</f>
        <v>284.75078999999999</v>
      </c>
      <c r="H25" s="23">
        <f>E25-G25</f>
        <v>485.24921000000001</v>
      </c>
      <c r="I25" s="23">
        <f>104.256</f>
        <v>104.256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11018.379720000001</v>
      </c>
      <c r="G26" s="11">
        <f t="shared" si="1"/>
        <v>82639.478810000001</v>
      </c>
      <c r="H26" s="11">
        <f t="shared" si="1"/>
        <v>62234.521189999992</v>
      </c>
      <c r="I26" s="11">
        <f t="shared" si="1"/>
        <v>88977.432369999995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9631.2548100000004</v>
      </c>
      <c r="G27" s="132">
        <f t="shared" ref="G27:I27" si="2">G28+G29+G30+G31+G32</f>
        <v>70621.239920000007</v>
      </c>
      <c r="H27" s="132">
        <f t="shared" si="2"/>
        <v>42356.760079999993</v>
      </c>
      <c r="I27" s="132">
        <f t="shared" si="2"/>
        <v>73261.396229999998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2712.30334</f>
        <v>2712.3033399999999</v>
      </c>
      <c r="G28" s="127">
        <f>17500.48337 - F56</f>
        <v>17500.483370000002</v>
      </c>
      <c r="H28" s="127">
        <f t="shared" ref="H28:H40" si="3">E28-G28</f>
        <v>11129.516629999998</v>
      </c>
      <c r="I28" s="127">
        <f>17890.28699 - H56</f>
        <v>17890.286990000001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2667.87364</f>
        <v>2667.8736399999998</v>
      </c>
      <c r="G29" s="127">
        <f>21138.44895 - F57</f>
        <v>21138.448950000002</v>
      </c>
      <c r="H29" s="127">
        <f t="shared" si="3"/>
        <v>8526.5510499999982</v>
      </c>
      <c r="I29" s="127">
        <f>22291.67086 - H57</f>
        <v>22291.670859999998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2804.68741</f>
        <v>2804.68741</v>
      </c>
      <c r="G30" s="127">
        <f>17910.10123 - F58</f>
        <v>17910.10123</v>
      </c>
      <c r="H30" s="127">
        <f t="shared" si="3"/>
        <v>9333.8987699999998</v>
      </c>
      <c r="I30" s="127">
        <f>18161.91229 - H58</f>
        <v>18161.91229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1446.39042</f>
        <v>1446.3904199999999</v>
      </c>
      <c r="G31" s="127">
        <f>14072.20637 - F59</f>
        <v>14072.20637</v>
      </c>
      <c r="H31" s="127">
        <f t="shared" si="3"/>
        <v>5266.7936300000001</v>
      </c>
      <c r="I31" s="127">
        <f>14917.52609 - H59</f>
        <v>14917.526089999999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58.96306</f>
        <v>58.963059999999999</v>
      </c>
      <c r="G33" s="132">
        <f>5247.37893</f>
        <v>5247.3789299999999</v>
      </c>
      <c r="H33" s="132">
        <f t="shared" si="3"/>
        <v>11611.621070000001</v>
      </c>
      <c r="I33" s="132">
        <f>7537.8512</f>
        <v>7537.8512000000001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1328.16185</v>
      </c>
      <c r="G34" s="132">
        <f>G35+G36</f>
        <v>6770.8599599999998</v>
      </c>
      <c r="H34" s="132">
        <f t="shared" si="3"/>
        <v>8266.1400400000002</v>
      </c>
      <c r="I34" s="132">
        <f>I35+I36</f>
        <v>8178.1849399999992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1328.16185</f>
        <v>1328.16185</v>
      </c>
      <c r="G35" s="132">
        <f>7715.85996 - F60 - F61</f>
        <v>6770.8599599999998</v>
      </c>
      <c r="H35" s="127">
        <f t="shared" si="3"/>
        <v>7306.1400400000002</v>
      </c>
      <c r="I35" s="127">
        <f>8663.18494 - H60 - H61</f>
        <v>8178.1849399999992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69.2276</f>
        <v>69.227599999999995</v>
      </c>
      <c r="G37" s="139">
        <f>84.8276</f>
        <v>84.827600000000004</v>
      </c>
      <c r="H37" s="139">
        <f t="shared" si="3"/>
        <v>1915.1723999999999</v>
      </c>
      <c r="I37" s="139">
        <f>93.5536</f>
        <v>93.553600000000003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75.28565</f>
        <v>75.285650000000004</v>
      </c>
      <c r="G38" s="98">
        <f>335.30784</f>
        <v>335.30784</v>
      </c>
      <c r="H38" s="98">
        <f t="shared" si="3"/>
        <v>519.69216000000006</v>
      </c>
      <c r="I38" s="98">
        <f>283.36513</f>
        <v>283.36513000000002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323</v>
      </c>
      <c r="G39" s="98">
        <f>F61</f>
        <v>945</v>
      </c>
      <c r="H39" s="98">
        <f t="shared" si="3"/>
        <v>2055</v>
      </c>
      <c r="I39" s="98">
        <f>H61</f>
        <v>485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50.11625</f>
        <v>50.116250000000001</v>
      </c>
      <c r="G40" s="98">
        <v>7000</v>
      </c>
      <c r="H40" s="98">
        <f t="shared" si="3"/>
        <v>0</v>
      </c>
      <c r="I40" s="98"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78.86235</f>
        <v>78.862350000000006</v>
      </c>
      <c r="G41" s="98">
        <f>165.91395</f>
        <v>165.91395</v>
      </c>
      <c r="H41" s="98">
        <f>E41-G41</f>
        <v>234.08605</v>
      </c>
      <c r="I41" s="98">
        <f>101.7644</f>
        <v>101.76439999999999</v>
      </c>
      <c r="J41" s="243"/>
    </row>
    <row r="42" spans="1:13" ht="17.25" customHeight="1" x14ac:dyDescent="0.25">
      <c r="A42" s="1"/>
      <c r="B42" s="253"/>
      <c r="C42" s="73" t="s">
        <v>130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0</f>
        <v>0</v>
      </c>
      <c r="G43" s="139">
        <f>57.20176</f>
        <v>57.20176</v>
      </c>
      <c r="H43" s="139">
        <f t="shared" ref="H43" si="4">E43-G43</f>
        <v>-57.20176</v>
      </c>
      <c r="I43" s="139">
        <f>17.0025</f>
        <v>17.002500000000001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12734.710069999999</v>
      </c>
      <c r="G44" s="76">
        <f t="shared" si="5"/>
        <v>115584.0622</v>
      </c>
      <c r="H44" s="76">
        <f t="shared" si="5"/>
        <v>103456.9378</v>
      </c>
      <c r="I44" s="76">
        <f t="shared" si="5"/>
        <v>126046.74623</v>
      </c>
      <c r="J44" s="243"/>
    </row>
    <row r="45" spans="1:13" ht="14.1" customHeight="1" x14ac:dyDescent="0.25">
      <c r="A45" s="101"/>
      <c r="B45" s="24"/>
      <c r="C45" s="77" t="s">
        <v>131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148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132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303" t="s">
        <v>43</v>
      </c>
      <c r="D52" s="303"/>
      <c r="E52" s="303"/>
      <c r="F52" s="303"/>
      <c r="G52" s="303"/>
      <c r="H52" s="303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144</v>
      </c>
      <c r="F54" s="68" t="s">
        <v>145</v>
      </c>
      <c r="G54" s="68" t="s">
        <v>146</v>
      </c>
      <c r="H54" s="68" t="s">
        <v>147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304">
        <v>7872</v>
      </c>
      <c r="E55" s="11">
        <f>E59+E58+E57+E56</f>
        <v>0</v>
      </c>
      <c r="F55" s="11">
        <f>F59+F58+F57+F56</f>
        <v>0</v>
      </c>
      <c r="G55" s="304">
        <f>D55-F55</f>
        <v>7872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305"/>
      <c r="E56" s="127"/>
      <c r="F56" s="127"/>
      <c r="G56" s="305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305"/>
      <c r="E57" s="127"/>
      <c r="F57" s="127"/>
      <c r="G57" s="305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305"/>
      <c r="E58" s="127"/>
      <c r="F58" s="127"/>
      <c r="G58" s="305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306"/>
      <c r="E59" s="192"/>
      <c r="F59" s="192"/>
      <c r="G59" s="306"/>
      <c r="H59" s="192"/>
      <c r="I59" s="257"/>
      <c r="J59" s="243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0</v>
      </c>
      <c r="F60" s="95">
        <v>0</v>
      </c>
      <c r="G60" s="95">
        <f>D60-F60</f>
        <v>960</v>
      </c>
      <c r="H60" s="95">
        <v>0</v>
      </c>
      <c r="I60" s="257"/>
      <c r="J60" s="243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323</v>
      </c>
      <c r="F61" s="139">
        <v>945</v>
      </c>
      <c r="G61" s="139">
        <f>D61-F61</f>
        <v>2055</v>
      </c>
      <c r="H61" s="139">
        <v>485</v>
      </c>
      <c r="I61" s="257"/>
      <c r="J61" s="243"/>
    </row>
    <row r="62" spans="1:10" ht="14.1" customHeight="1" x14ac:dyDescent="0.25">
      <c r="A62" s="101"/>
      <c r="B62" s="24"/>
      <c r="C62" s="77" t="s">
        <v>133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14.75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7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143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144</v>
      </c>
      <c r="G91" s="15" t="s">
        <v>145</v>
      </c>
      <c r="H91" s="15" t="s">
        <v>146</v>
      </c>
      <c r="I91" s="15" t="s">
        <v>147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1463.8493000000001</v>
      </c>
      <c r="G92" s="11">
        <f t="shared" si="6"/>
        <v>16378.701519999999</v>
      </c>
      <c r="H92" s="11">
        <f t="shared" si="6"/>
        <v>9582.2984800000013</v>
      </c>
      <c r="I92" s="11">
        <f t="shared" si="6"/>
        <v>14321.223019999999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1463.8493</f>
        <v>1463.8493000000001</v>
      </c>
      <c r="G93" s="23">
        <f>16008.09947</f>
        <v>16008.099469999999</v>
      </c>
      <c r="H93" s="23">
        <f>E93-G93</f>
        <v>9127.9005300000008</v>
      </c>
      <c r="I93" s="23">
        <f>14163.03982</f>
        <v>14163.03982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370.60205</f>
        <v>370.60205000000002</v>
      </c>
      <c r="H94" s="50">
        <f>E94-G94</f>
        <v>454.39794999999998</v>
      </c>
      <c r="I94" s="50">
        <f>158.1832</f>
        <v>158.1832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1124.2742000000001</v>
      </c>
      <c r="G95" s="11">
        <f t="shared" si="7"/>
        <v>15151.293930000002</v>
      </c>
      <c r="H95" s="11">
        <f t="shared" si="7"/>
        <v>33842.70607</v>
      </c>
      <c r="I95" s="11">
        <f t="shared" si="7"/>
        <v>10089.532420000001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1016.2676300000001</v>
      </c>
      <c r="G96" s="132">
        <f t="shared" si="8"/>
        <v>10431.807870000001</v>
      </c>
      <c r="H96" s="132">
        <f t="shared" si="8"/>
        <v>27062.192130000003</v>
      </c>
      <c r="I96" s="132">
        <f t="shared" si="8"/>
        <v>6022.8968000000004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123.68456</f>
        <v>123.68456</v>
      </c>
      <c r="G97" s="127">
        <f>2657.04963</f>
        <v>2657.04963</v>
      </c>
      <c r="H97" s="127">
        <f t="shared" ref="H97:H104" si="9">E97-G97</f>
        <v>7357.9503700000005</v>
      </c>
      <c r="I97" s="127">
        <f>1340.8515</f>
        <v>1340.8515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169.46628</f>
        <v>169.46628000000001</v>
      </c>
      <c r="G98" s="127">
        <f>3783.15176</f>
        <v>3783.1517600000002</v>
      </c>
      <c r="H98" s="127">
        <f t="shared" si="9"/>
        <v>6830.8482399999994</v>
      </c>
      <c r="I98" s="127">
        <f>1846.38916</f>
        <v>1846.3891599999999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246.66092</f>
        <v>246.66092</v>
      </c>
      <c r="G99" s="127">
        <f>2544.57158</f>
        <v>2544.5715799999998</v>
      </c>
      <c r="H99" s="127">
        <f t="shared" si="9"/>
        <v>7567.4284200000002</v>
      </c>
      <c r="I99" s="127">
        <f>1422.15004</f>
        <v>1422.15004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476.45587</f>
        <v>476.45587</v>
      </c>
      <c r="G100" s="127">
        <f>1447.0349</f>
        <v>1447.0349000000001</v>
      </c>
      <c r="H100" s="127">
        <f t="shared" si="9"/>
        <v>5305.9650999999994</v>
      </c>
      <c r="I100" s="127">
        <f>1413.5061</f>
        <v>1413.5061000000001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27.5596</f>
        <v>27.5596</v>
      </c>
      <c r="G101" s="132">
        <f>3498.58406</f>
        <v>3498.5840600000001</v>
      </c>
      <c r="H101" s="132">
        <f t="shared" si="9"/>
        <v>4097.4159399999999</v>
      </c>
      <c r="I101" s="132">
        <f>3310.69619</f>
        <v>3310.6961900000001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80.44697</f>
        <v>80.446969999999993</v>
      </c>
      <c r="G102" s="75">
        <f>1220.902</f>
        <v>1220.902</v>
      </c>
      <c r="H102" s="75">
        <f t="shared" si="9"/>
        <v>2683.098</v>
      </c>
      <c r="I102" s="75">
        <f>755.93943</f>
        <v>755.93943000000002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2.58368</f>
        <v>2.5836800000000002</v>
      </c>
      <c r="G103" s="98">
        <f>24.52463</f>
        <v>24.524629999999998</v>
      </c>
      <c r="H103" s="98">
        <f t="shared" si="9"/>
        <v>294.47537</v>
      </c>
      <c r="I103" s="98">
        <f>10.79085</f>
        <v>10.790850000000001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5.44653</f>
        <v>5.4465300000000001</v>
      </c>
      <c r="G104" s="139">
        <v>300</v>
      </c>
      <c r="H104" s="139">
        <f t="shared" si="9"/>
        <v>0</v>
      </c>
      <c r="I104" s="139"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1.67791</f>
        <v>1.67791</v>
      </c>
      <c r="G105" s="98">
        <f>7.96754</f>
        <v>7.9675399999999996</v>
      </c>
      <c r="H105" s="139">
        <f>E105-G105</f>
        <v>42.03246</v>
      </c>
      <c r="I105" s="98">
        <f>4.07786</f>
        <v>4.0778600000000003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0</f>
        <v>0</v>
      </c>
      <c r="G106" s="139">
        <f>12.99754</f>
        <v>12.997540000000001</v>
      </c>
      <c r="H106" s="139">
        <f t="shared" ref="H106" si="10">E106-G106</f>
        <v>-12.997540000000001</v>
      </c>
      <c r="I106" s="139">
        <f>8.63268</f>
        <v>8.6326800000000006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2597.8316200000004</v>
      </c>
      <c r="G107" s="76">
        <f t="shared" si="12"/>
        <v>31875.485160000004</v>
      </c>
      <c r="H107" s="76">
        <f t="shared" si="12"/>
        <v>43748.514840000003</v>
      </c>
      <c r="I107" s="76">
        <f t="shared" si="12"/>
        <v>24734.256830000002</v>
      </c>
      <c r="J107" s="243"/>
    </row>
    <row r="108" spans="1:10" ht="13.5" customHeight="1" x14ac:dyDescent="0.25">
      <c r="A108" s="1"/>
      <c r="B108" s="253"/>
      <c r="C108" s="77" t="s">
        <v>134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149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135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144</v>
      </c>
      <c r="G127" s="15" t="s">
        <v>145</v>
      </c>
      <c r="H127" s="15" t="s">
        <v>146</v>
      </c>
      <c r="I127" s="15" t="s">
        <v>147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2633.5907999999999</v>
      </c>
      <c r="G128" s="11">
        <f t="shared" si="13"/>
        <v>24618.620770000001</v>
      </c>
      <c r="H128" s="11">
        <f t="shared" si="13"/>
        <v>47688.379230000006</v>
      </c>
      <c r="I128" s="11">
        <f t="shared" si="13"/>
        <v>24437.648789999999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2633.5908</f>
        <v>2633.5907999999999</v>
      </c>
      <c r="G129" s="23">
        <f>21713.23898</f>
        <v>21713.238979999998</v>
      </c>
      <c r="H129" s="23">
        <f>E129-G129</f>
        <v>35848.761020000005</v>
      </c>
      <c r="I129" s="23">
        <f>21165.90106</f>
        <v>21165.90106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2842.48164</f>
        <v>2842.48164</v>
      </c>
      <c r="H130" s="23">
        <f>E130-G130</f>
        <v>11402.51836</v>
      </c>
      <c r="I130" s="23">
        <f>3160.36148</f>
        <v>3160.36148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62.90015</f>
        <v>62.900149999999996</v>
      </c>
      <c r="H131" s="55">
        <f>E131-G131</f>
        <v>437.09985</v>
      </c>
      <c r="I131" s="23">
        <f>111.38625</f>
        <v>111.38625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3.70035</f>
        <v>3.7003499999999998</v>
      </c>
      <c r="G132" s="95">
        <f>21.7922+836.737805</f>
        <v>858.53000499999996</v>
      </c>
      <c r="H132" s="95">
        <f>E132-G132</f>
        <v>51637.469994999999</v>
      </c>
      <c r="I132" s="95">
        <f>13.31695</f>
        <v>13.31695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2762.5105399999998</v>
      </c>
      <c r="G133" s="94">
        <f t="shared" ref="G133" si="14">G134+G139+G142</f>
        <v>35165.555744999998</v>
      </c>
      <c r="H133" s="94">
        <f>H134+H139+H142</f>
        <v>44999.444255000002</v>
      </c>
      <c r="I133" s="94">
        <f>I134+I139+I142</f>
        <v>32015.776270000002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1240.18966</v>
      </c>
      <c r="G134" s="125">
        <f>G135+G136+G138+G137</f>
        <v>26767.367955000002</v>
      </c>
      <c r="H134" s="125">
        <f>H135+H136+H137+H138</f>
        <v>32311.632044999998</v>
      </c>
      <c r="I134" s="125">
        <f>I135+I136+I137+I138</f>
        <v>27217.062150000002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168.82946</f>
        <v>168.82946000000001</v>
      </c>
      <c r="G135" s="127">
        <v>5062.1240799999996</v>
      </c>
      <c r="H135" s="127">
        <f>E135-G135</f>
        <v>12711.87592</v>
      </c>
      <c r="I135" s="127">
        <f>4080.90765</f>
        <v>4080.9076500000001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225.16843</f>
        <v>225.16843</v>
      </c>
      <c r="G136" s="127">
        <v>8744.8121549999996</v>
      </c>
      <c r="H136" s="127">
        <f>E136-G136</f>
        <v>6194.1878450000004</v>
      </c>
      <c r="I136" s="127">
        <f>8083.52902</f>
        <v>8083.5290199999999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271.61989</f>
        <v>271.61989</v>
      </c>
      <c r="G137" s="127">
        <v>6559.8253800000002</v>
      </c>
      <c r="H137" s="127">
        <f>E137-G137</f>
        <v>6491.1746199999998</v>
      </c>
      <c r="I137" s="127">
        <f>6814.71105</f>
        <v>6814.7110499999999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574.57188</f>
        <v>574.57187999999996</v>
      </c>
      <c r="G138" s="127">
        <v>6400.6063400000003</v>
      </c>
      <c r="H138" s="127">
        <f>E138-G138</f>
        <v>6914.3936599999997</v>
      </c>
      <c r="I138" s="127">
        <f>8237.91443</f>
        <v>8237.9144300000007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1395.76675</v>
      </c>
      <c r="G139" s="132">
        <f>SUM(G140:G141)</f>
        <v>6309.2569800000001</v>
      </c>
      <c r="H139" s="132">
        <f>H140+H141</f>
        <v>2620.7430200000003</v>
      </c>
      <c r="I139" s="132">
        <f>SUM(I140:I141)</f>
        <v>3199.5208600000001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1389.2806</f>
        <v>1389.2806</v>
      </c>
      <c r="G140" s="127">
        <f>6181.54656</f>
        <v>6181.5465599999998</v>
      </c>
      <c r="H140" s="127">
        <f t="shared" ref="H140:H148" si="15">E140-G140</f>
        <v>2248.4534400000002</v>
      </c>
      <c r="I140" s="127">
        <f>3125.75342</f>
        <v>3125.75342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6.48615</f>
        <v>6.4861500000000003</v>
      </c>
      <c r="G141" s="127">
        <f>127.71042</f>
        <v>127.71042</v>
      </c>
      <c r="H141" s="127">
        <f t="shared" si="15"/>
        <v>372.28958</v>
      </c>
      <c r="I141" s="127">
        <f>73.76744</f>
        <v>73.767439999999993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126.55413</f>
        <v>126.55413</v>
      </c>
      <c r="G142" s="75">
        <f>2088.93081</f>
        <v>2088.9308099999998</v>
      </c>
      <c r="H142" s="75">
        <f t="shared" si="15"/>
        <v>10067.06919</v>
      </c>
      <c r="I142" s="75">
        <f>1599.19326</f>
        <v>1599.19326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0.31075</f>
        <v>0.31075000000000003</v>
      </c>
      <c r="G143" s="139">
        <f>8.92233</f>
        <v>8.9223300000000005</v>
      </c>
      <c r="H143" s="139">
        <f t="shared" si="15"/>
        <v>137.07767000000001</v>
      </c>
      <c r="I143" s="139">
        <f>17.62628</f>
        <v>17.626280000000001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0</f>
        <v>0</v>
      </c>
      <c r="H144" s="98">
        <f t="shared" si="15"/>
        <v>250</v>
      </c>
      <c r="I144" s="98">
        <f>0</f>
        <v>0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13.78444</f>
        <v>13.78444</v>
      </c>
      <c r="G145" s="139">
        <v>2000</v>
      </c>
      <c r="H145" s="139">
        <f t="shared" si="15"/>
        <v>0</v>
      </c>
      <c r="I145" s="139"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0.7087</f>
        <v>0.7087</v>
      </c>
      <c r="G147" s="98">
        <f>19.87513</f>
        <v>19.875129999999999</v>
      </c>
      <c r="H147" s="139">
        <f t="shared" si="15"/>
        <v>256.12486999999999</v>
      </c>
      <c r="I147" s="98">
        <f>16.64325</f>
        <v>16.643249999999998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</f>
        <v>0</v>
      </c>
      <c r="G148" s="139">
        <f>109.00529</f>
        <v>109.00529</v>
      </c>
      <c r="H148" s="139">
        <f t="shared" si="15"/>
        <v>-109.00529</v>
      </c>
      <c r="I148" s="139">
        <f>60.4498</f>
        <v>60.449800000000003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5414.6055800000004</v>
      </c>
      <c r="G150" s="76">
        <f>G128+G132+G133+G143+G144+G145+G146+G147+G148</f>
        <v>62780.509270000002</v>
      </c>
      <c r="H150" s="76">
        <f>H128+H132+H133+H143+H144+H145+H146+H147+H148</f>
        <v>144859.49073000002</v>
      </c>
      <c r="I150" s="76">
        <f>I128+I132+I133+I143+I144+I145+I146+I147+I148</f>
        <v>58561.461340000002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136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150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137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144</v>
      </c>
      <c r="F174" s="15" t="s">
        <v>145</v>
      </c>
      <c r="G174" s="54" t="s">
        <v>146</v>
      </c>
      <c r="H174" s="15" t="s">
        <v>147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3.18277</f>
        <v>3.1827700000000001</v>
      </c>
      <c r="F175" s="275">
        <f>259.45515</f>
        <v>259.45515</v>
      </c>
      <c r="G175" s="43">
        <f>D175-F175-F176</f>
        <v>3702.5825400000003</v>
      </c>
      <c r="H175" s="275">
        <f>392.58199</f>
        <v>392.58199000000002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0</f>
        <v>0</v>
      </c>
      <c r="F176" s="152">
        <f>260.96231</f>
        <v>260.96231</v>
      </c>
      <c r="G176" s="216"/>
      <c r="H176" s="152">
        <f>170.2337</f>
        <v>170.2337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1.1534</f>
        <v>1.1534</v>
      </c>
      <c r="F177" s="172">
        <f>7.17516</f>
        <v>7.17516</v>
      </c>
      <c r="G177" s="172">
        <f>D177-F177</f>
        <v>192.82483999999999</v>
      </c>
      <c r="H177" s="172">
        <f>19.02122</f>
        <v>19.02122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4.8502400000000003</v>
      </c>
      <c r="F178" s="181">
        <f>F179+F180+F181</f>
        <v>32.60107</v>
      </c>
      <c r="G178" s="181">
        <f>D178-F178</f>
        <v>6301.3989300000003</v>
      </c>
      <c r="H178" s="181">
        <f>H179+H180+H181</f>
        <v>8.5509400000000007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1.91656</f>
        <v>1.91656</v>
      </c>
      <c r="F179" s="127">
        <f>14.50553</f>
        <v>14.50553</v>
      </c>
      <c r="G179" s="127"/>
      <c r="H179" s="127">
        <f>3.22888</f>
        <v>3.2288800000000002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1.5124</f>
        <v>1.5124</v>
      </c>
      <c r="F180" s="127">
        <f>9.70974</f>
        <v>9.70974</v>
      </c>
      <c r="G180" s="127"/>
      <c r="H180" s="127">
        <f>4.2605</f>
        <v>4.2605000000000004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1.42128</f>
        <v>1.4212800000000001</v>
      </c>
      <c r="F181" s="192">
        <f>8.3858</f>
        <v>8.3857999999999997</v>
      </c>
      <c r="G181" s="192"/>
      <c r="H181" s="192">
        <f>1.06156</f>
        <v>1.0615600000000001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9.1864100000000004</v>
      </c>
      <c r="F184" s="194">
        <f>F175+F176+F177+F178+F182+F183</f>
        <v>560.19369000000006</v>
      </c>
      <c r="G184" s="194">
        <f>D184-F184</f>
        <v>10262.80631</v>
      </c>
      <c r="H184" s="194">
        <f>H175+H176+H177+H178+H182+H183</f>
        <v>590.38784999999996</v>
      </c>
      <c r="I184" s="163"/>
      <c r="J184" s="160"/>
    </row>
    <row r="185" spans="1:10" ht="42" customHeight="1" x14ac:dyDescent="0.25">
      <c r="A185" s="1"/>
      <c r="B185" s="198"/>
      <c r="C185" s="226" t="s">
        <v>118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124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125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128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144</v>
      </c>
      <c r="F203" s="68" t="s">
        <v>145</v>
      </c>
      <c r="G203" s="68" t="s">
        <v>146</v>
      </c>
      <c r="H203" s="68" t="s">
        <v>147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45.02377</f>
        <v>45.023769999999999</v>
      </c>
      <c r="F204" s="124">
        <f>12878.64813</f>
        <v>12878.64813</v>
      </c>
      <c r="G204" s="124">
        <f>D204-F204</f>
        <v>33403.351869999999</v>
      </c>
      <c r="H204" s="124">
        <f>6421.38794</f>
        <v>6421.3879399999996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0.1571</f>
        <v>0.15709999999999999</v>
      </c>
      <c r="F205" s="124">
        <f>1.47355</f>
        <v>1.4735499999999999</v>
      </c>
      <c r="G205" s="124">
        <f>D205-F205</f>
        <v>98.526449999999997</v>
      </c>
      <c r="H205" s="124">
        <f>0.7978</f>
        <v>0.79779999999999995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45.180869999999999</v>
      </c>
      <c r="F207" s="190">
        <f>SUM(F204:F206)</f>
        <v>12880.12168</v>
      </c>
      <c r="G207" s="190">
        <f>D207-F207</f>
        <v>33537.878320000003</v>
      </c>
      <c r="H207" s="190">
        <f>SUM(H204:H206)</f>
        <v>6422.1857399999999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119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144</v>
      </c>
      <c r="F248" s="68" t="s">
        <v>145</v>
      </c>
      <c r="G248" s="68" t="s">
        <v>146</v>
      </c>
      <c r="H248" s="68" t="s">
        <v>147</v>
      </c>
      <c r="I248" s="1"/>
      <c r="J248" s="120"/>
    </row>
    <row r="249" spans="1:10" ht="15" customHeight="1" x14ac:dyDescent="0.25">
      <c r="A249" s="1"/>
      <c r="B249" s="253"/>
      <c r="C249" s="90" t="s">
        <v>126</v>
      </c>
      <c r="D249" s="124">
        <v>3987</v>
      </c>
      <c r="E249" s="75">
        <f>E250+E251</f>
        <v>204.50361999999998</v>
      </c>
      <c r="F249" s="75">
        <f>F250+F251</f>
        <v>1154.6666599999999</v>
      </c>
      <c r="G249" s="75">
        <f>D249-F249</f>
        <v>2832.3333400000001</v>
      </c>
      <c r="H249" s="75">
        <f>H250+H251</f>
        <v>580.88597000000004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166.78508</f>
        <v>166.78507999999999</v>
      </c>
      <c r="F250" s="75">
        <f>856.99564</f>
        <v>856.99563999999998</v>
      </c>
      <c r="G250" s="75"/>
      <c r="H250" s="75">
        <f>340.75757</f>
        <v>340.75756999999999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37.71854</f>
        <v>37.718539999999997</v>
      </c>
      <c r="F251" s="124">
        <f>297.67102</f>
        <v>297.67102</v>
      </c>
      <c r="G251" s="168"/>
      <c r="H251" s="124">
        <f>240.1284</f>
        <v>240.1284</v>
      </c>
      <c r="I251" s="247"/>
      <c r="J251" s="120"/>
    </row>
    <row r="252" spans="1:10" ht="15" customHeight="1" x14ac:dyDescent="0.25">
      <c r="A252" s="1"/>
      <c r="B252" s="253"/>
      <c r="C252" s="90" t="s">
        <v>127</v>
      </c>
      <c r="D252" s="124">
        <v>4613</v>
      </c>
      <c r="E252" s="75">
        <f>142.34144</f>
        <v>142.34144000000001</v>
      </c>
      <c r="F252" s="75">
        <f>1451.59252</f>
        <v>1451.5925199999999</v>
      </c>
      <c r="G252" s="75">
        <f>D252-F252</f>
        <v>3161.4074799999999</v>
      </c>
      <c r="H252" s="75">
        <f>1204.45363</f>
        <v>1204.45363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SUM(E249:E252)</f>
        <v>551.34867999999994</v>
      </c>
      <c r="F253" s="190">
        <f>SUM(F249:F252)</f>
        <v>3760.9258399999999</v>
      </c>
      <c r="G253" s="190">
        <f>D253-F253</f>
        <v>4839.0741600000001</v>
      </c>
      <c r="H253" s="190">
        <f>SUM(H249:H252)</f>
        <v>2366.2255700000001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120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144</v>
      </c>
      <c r="F294" s="68" t="s">
        <v>145</v>
      </c>
      <c r="G294" s="68" t="s">
        <v>146</v>
      </c>
      <c r="H294" s="68" t="s">
        <v>147</v>
      </c>
      <c r="I294" s="1"/>
      <c r="J294" s="120"/>
    </row>
    <row r="295" spans="1:10" ht="15" customHeight="1" x14ac:dyDescent="0.25">
      <c r="A295" s="1"/>
      <c r="B295" s="253"/>
      <c r="C295" s="90" t="s">
        <v>126</v>
      </c>
      <c r="D295" s="124">
        <v>5090</v>
      </c>
      <c r="E295" s="75">
        <f>E296+E297</f>
        <v>46.728049999999996</v>
      </c>
      <c r="F295" s="75">
        <f>F296+F297</f>
        <v>979.64057000000003</v>
      </c>
      <c r="G295" s="75">
        <f>D295-F295</f>
        <v>4110.3594300000004</v>
      </c>
      <c r="H295" s="75">
        <f>H296+H297</f>
        <v>366.31263999999999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29.5052</f>
        <v>29.505199999999999</v>
      </c>
      <c r="F296" s="75">
        <f>764.91529</f>
        <v>764.91529000000003</v>
      </c>
      <c r="G296" s="75"/>
      <c r="H296" s="75">
        <f>239.69829</f>
        <v>239.69828999999999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17.22285</f>
        <v>17.222850000000001</v>
      </c>
      <c r="F297" s="124">
        <f>214.72528</f>
        <v>214.72528</v>
      </c>
      <c r="G297" s="168"/>
      <c r="H297" s="124">
        <f>126.61435</f>
        <v>126.61435</v>
      </c>
      <c r="I297" s="247"/>
      <c r="J297" s="120"/>
    </row>
    <row r="298" spans="1:10" ht="15" customHeight="1" x14ac:dyDescent="0.25">
      <c r="A298" s="1"/>
      <c r="B298" s="253"/>
      <c r="C298" s="90" t="s">
        <v>127</v>
      </c>
      <c r="D298" s="124">
        <v>2981</v>
      </c>
      <c r="E298" s="75">
        <f>54.01139</f>
        <v>54.011389999999999</v>
      </c>
      <c r="F298" s="75">
        <f>995.44959</f>
        <v>995.44958999999994</v>
      </c>
      <c r="G298" s="75">
        <f>D298-F298</f>
        <v>1985.5504100000001</v>
      </c>
      <c r="H298" s="75">
        <f>790.67168</f>
        <v>790.67168000000004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SUM(E295:E298)</f>
        <v>147.46749</v>
      </c>
      <c r="F299" s="190">
        <f>SUM(F295:F298)</f>
        <v>2954.7307300000002</v>
      </c>
      <c r="G299" s="190">
        <f>D299-F299</f>
        <v>5116.2692699999998</v>
      </c>
      <c r="H299" s="190">
        <f>SUM(H295:H298)</f>
        <v>1523.2969600000001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129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144</v>
      </c>
      <c r="F349" s="68" t="s">
        <v>145</v>
      </c>
      <c r="G349" s="68" t="s">
        <v>146</v>
      </c>
      <c r="H349" s="68" t="s">
        <v>147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9.32552</f>
        <v>9.3255199999999991</v>
      </c>
      <c r="F350" s="124">
        <f>115.05242</f>
        <v>115.05242</v>
      </c>
      <c r="G350" s="124">
        <f>D350-F350</f>
        <v>684.94758000000002</v>
      </c>
      <c r="H350" s="124">
        <f>79.17665</f>
        <v>79.176649999999995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9.63236</f>
        <v>9.6323600000000003</v>
      </c>
      <c r="F351" s="124">
        <f>342.19734</f>
        <v>342.19734</v>
      </c>
      <c r="G351" s="124">
        <f>D351-F351</f>
        <v>2698.8026599999998</v>
      </c>
      <c r="H351" s="124">
        <f>392.07674</f>
        <v>392.07673999999997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0.61006</f>
        <v>0.61006000000000005</v>
      </c>
      <c r="G352" s="124">
        <f>D352-F352</f>
        <v>9.3899399999999993</v>
      </c>
      <c r="H352" s="168">
        <f>0.09004</f>
        <v>9.0039999999999995E-2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0.047</f>
        <v>4.7E-2</v>
      </c>
      <c r="G353" s="124">
        <f>D353-F353</f>
        <v>-4.7E-2</v>
      </c>
      <c r="H353" s="168">
        <f>0.19022</f>
        <v>0.19022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18.957879999999999</v>
      </c>
      <c r="F354" s="190">
        <f>SUM(F350:F353)</f>
        <v>457.90681999999998</v>
      </c>
      <c r="G354" s="190">
        <f>D354-F354</f>
        <v>3393.0931799999998</v>
      </c>
      <c r="H354" s="190">
        <f>H350+H351+H352+H353</f>
        <v>471.53364999999997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140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141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144</v>
      </c>
      <c r="G379" s="222" t="s">
        <v>145</v>
      </c>
      <c r="H379" s="222" t="s">
        <v>146</v>
      </c>
      <c r="I379" s="222" t="s">
        <v>147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46.802639999999997</v>
      </c>
      <c r="G380" s="252">
        <f t="shared" si="17"/>
        <v>3797.5985599999999</v>
      </c>
      <c r="H380" s="252">
        <f>H384+H383+H382+H381</f>
        <v>19171.401440000001</v>
      </c>
      <c r="I380" s="252">
        <f t="shared" si="17"/>
        <v>2674.95388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0</f>
        <v>0</v>
      </c>
      <c r="G381" s="256">
        <f>2990.89767</f>
        <v>2990.8976699999998</v>
      </c>
      <c r="H381" s="256">
        <f t="shared" ref="H381:H385" si="18">E381-G381</f>
        <v>10199.10233</v>
      </c>
      <c r="I381" s="256">
        <f>1618.56418</f>
        <v>1618.5641800000001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253.9944</f>
        <v>253.99440000000001</v>
      </c>
      <c r="H382" s="256">
        <f t="shared" si="18"/>
        <v>3179.0056</v>
      </c>
      <c r="I382" s="256">
        <f>432</f>
        <v>432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45.43584</f>
        <v>45.435839999999999</v>
      </c>
      <c r="G383" s="256">
        <f>524.84629</f>
        <v>524.84628999999995</v>
      </c>
      <c r="H383" s="256">
        <f t="shared" si="18"/>
        <v>958.15371000000005</v>
      </c>
      <c r="I383" s="256">
        <f>379.06885</f>
        <v>379.06885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1.3668</f>
        <v>1.3668</v>
      </c>
      <c r="G384" s="256">
        <f>27.8602</f>
        <v>27.860199999999999</v>
      </c>
      <c r="H384" s="256">
        <f t="shared" si="18"/>
        <v>4835.1397999999999</v>
      </c>
      <c r="I384" s="256">
        <f>245.32085</f>
        <v>245.32085000000001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0</f>
        <v>0</v>
      </c>
      <c r="G385" s="267">
        <f>0.971</f>
        <v>0.97099999999999997</v>
      </c>
      <c r="H385" s="267">
        <f t="shared" si="18"/>
        <v>5499.0290000000005</v>
      </c>
      <c r="I385" s="267">
        <f>19.213</f>
        <v>19.213000000000001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35.423729999999999</v>
      </c>
      <c r="G386" s="268">
        <f>G388+G387</f>
        <v>1178.72729</v>
      </c>
      <c r="H386" s="268">
        <f>E386-G386</f>
        <v>6821.2727100000002</v>
      </c>
      <c r="I386" s="268">
        <f>I388+I387</f>
        <v>1460.7474099999999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0</f>
        <v>0</v>
      </c>
      <c r="G387" s="256">
        <f>517.07376</f>
        <v>517.07375999999999</v>
      </c>
      <c r="H387" s="256"/>
      <c r="I387" s="256">
        <f>742.5736</f>
        <v>742.57360000000006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35.42373</f>
        <v>35.423729999999999</v>
      </c>
      <c r="G388" s="277">
        <f>661.65353</f>
        <v>661.65353000000005</v>
      </c>
      <c r="H388" s="277"/>
      <c r="I388" s="277">
        <f>718.17381</f>
        <v>718.17381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0.0264</f>
        <v>2.64E-2</v>
      </c>
      <c r="H389" s="267">
        <f>E389-G389</f>
        <v>12.973599999999999</v>
      </c>
      <c r="I389" s="267">
        <f>0.0567</f>
        <v>5.67E-2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0.30876</f>
        <v>0.30875999999999998</v>
      </c>
      <c r="G390" s="267">
        <f>3.80888</f>
        <v>3.8088799999999998</v>
      </c>
      <c r="H390" s="267">
        <f>E390-G390</f>
        <v>-3.8088799999999998</v>
      </c>
      <c r="I390" s="267">
        <f>2.60992</f>
        <v>2.6099199999999998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82.535130000000009</v>
      </c>
      <c r="G391" s="286">
        <f t="shared" si="19"/>
        <v>4981.1321299999991</v>
      </c>
      <c r="H391" s="286">
        <f>H380+H385+H386+H389+H390</f>
        <v>31500.867870000005</v>
      </c>
      <c r="I391" s="286">
        <f t="shared" si="19"/>
        <v>4157.5809100000006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139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138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300" t="s">
        <v>121</v>
      </c>
      <c r="D407" s="300"/>
      <c r="E407" s="300"/>
      <c r="F407" s="300"/>
      <c r="G407" s="300"/>
      <c r="H407" s="300"/>
      <c r="I407" s="150"/>
      <c r="J407" s="130"/>
    </row>
    <row r="408" spans="1:10" ht="14.1" customHeight="1" x14ac:dyDescent="0.25">
      <c r="A408" s="217"/>
      <c r="B408" s="72"/>
      <c r="C408" s="300"/>
      <c r="D408" s="300"/>
      <c r="E408" s="300"/>
      <c r="F408" s="300"/>
      <c r="G408" s="300"/>
      <c r="H408" s="300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144</v>
      </c>
      <c r="F412" s="20" t="s">
        <v>145</v>
      </c>
      <c r="G412" s="25" t="s">
        <v>146</v>
      </c>
      <c r="H412" s="20" t="s">
        <v>147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1838.2897400000002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395.39864</f>
        <v>395.39864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1221.9089799999999</v>
      </c>
      <c r="G416" s="85">
        <f>D416-F416</f>
        <v>-161.90897999999993</v>
      </c>
      <c r="H416" s="26">
        <f>SUM(H417:H418)</f>
        <v>1893.54342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982.54229</f>
        <v>982.54228999999998</v>
      </c>
      <c r="G417" s="97"/>
      <c r="H417" s="30">
        <f>1541.7145</f>
        <v>1541.7145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239.36669</f>
        <v>239.36669000000001</v>
      </c>
      <c r="G418" s="108"/>
      <c r="H418" s="30">
        <f>351.82892</f>
        <v>351.82891999999998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73.11824</v>
      </c>
      <c r="F419" s="36">
        <f>SUM(F420:F421)</f>
        <v>225.99169000000001</v>
      </c>
      <c r="G419" s="85">
        <f>D419-F419</f>
        <v>1009.0083099999999</v>
      </c>
      <c r="H419" s="36">
        <f>SUM(H420:H421)</f>
        <v>484.83338000000003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49.15024</f>
        <v>49.150239999999997</v>
      </c>
      <c r="F420" s="30">
        <f>157.41964</f>
        <v>157.41963999999999</v>
      </c>
      <c r="G420" s="97"/>
      <c r="H420" s="30">
        <f>351.85188</f>
        <v>351.85187999999999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23.968</f>
        <v>23.968</v>
      </c>
      <c r="F421" s="30">
        <f>68.57205</f>
        <v>68.572050000000004</v>
      </c>
      <c r="G421" s="108"/>
      <c r="H421" s="30">
        <f>132.9815</f>
        <v>132.98150000000001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73.11824</v>
      </c>
      <c r="F423" s="40">
        <f>F413+F416+F419+F422</f>
        <v>2436.3018999999995</v>
      </c>
      <c r="G423" s="41"/>
      <c r="H423" s="40">
        <f>H413+H416+H419+H422</f>
        <v>4216.6665400000002</v>
      </c>
      <c r="I423" s="27"/>
      <c r="J423" s="130"/>
    </row>
    <row r="424" spans="1:10" ht="42" customHeight="1" x14ac:dyDescent="0.25">
      <c r="A424" s="217"/>
      <c r="B424" s="72"/>
      <c r="C424" s="301" t="s">
        <v>122</v>
      </c>
      <c r="D424" s="301"/>
      <c r="E424" s="301"/>
      <c r="F424" s="301"/>
      <c r="G424" s="301"/>
      <c r="H424" s="301"/>
      <c r="I424" s="301"/>
      <c r="J424" s="302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407:H408"/>
    <mergeCell ref="C424:J424"/>
    <mergeCell ref="C52:H52"/>
    <mergeCell ref="D55:D59"/>
    <mergeCell ref="G55:G59"/>
    <mergeCell ref="C81:D81"/>
    <mergeCell ref="E81:F81"/>
    <mergeCell ref="G81:H81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12&amp;R25.03.2024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2024-03-25T08:39:48Z</dcterms:modified>
</cp:coreProperties>
</file>