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1FA40EA1-5CE5-4A8F-AFF8-7CCEAE0678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/>
  <c r="F419" i="1"/>
  <c r="E419" i="1"/>
  <c r="H418" i="1"/>
  <c r="F418" i="1"/>
  <c r="E418" i="1"/>
  <c r="E417" i="1" s="1"/>
  <c r="H417" i="1"/>
  <c r="F417" i="1"/>
  <c r="H416" i="1"/>
  <c r="F416" i="1"/>
  <c r="E416" i="1"/>
  <c r="H415" i="1"/>
  <c r="F415" i="1"/>
  <c r="E415" i="1"/>
  <c r="E414" i="1" s="1"/>
  <c r="H414" i="1"/>
  <c r="F414" i="1"/>
  <c r="H413" i="1"/>
  <c r="F413" i="1"/>
  <c r="E413" i="1"/>
  <c r="E411" i="1" s="1"/>
  <c r="H412" i="1"/>
  <c r="F412" i="1"/>
  <c r="E412" i="1"/>
  <c r="H411" i="1"/>
  <c r="H421" i="1" s="1"/>
  <c r="F411" i="1"/>
  <c r="F421" i="1" s="1"/>
  <c r="I388" i="1"/>
  <c r="G388" i="1"/>
  <c r="H388" i="1" s="1"/>
  <c r="F388" i="1"/>
  <c r="I387" i="1"/>
  <c r="G387" i="1"/>
  <c r="H387" i="1" s="1"/>
  <c r="F387" i="1"/>
  <c r="I386" i="1"/>
  <c r="I384" i="1" s="1"/>
  <c r="G386" i="1"/>
  <c r="F386" i="1"/>
  <c r="F384" i="1" s="1"/>
  <c r="I385" i="1"/>
  <c r="G385" i="1"/>
  <c r="F385" i="1"/>
  <c r="G384" i="1"/>
  <c r="H384" i="1" s="1"/>
  <c r="I383" i="1"/>
  <c r="H383" i="1"/>
  <c r="G383" i="1"/>
  <c r="F383" i="1"/>
  <c r="I382" i="1"/>
  <c r="G382" i="1"/>
  <c r="H382" i="1" s="1"/>
  <c r="H378" i="1" s="1"/>
  <c r="F382" i="1"/>
  <c r="I381" i="1"/>
  <c r="H381" i="1"/>
  <c r="G381" i="1"/>
  <c r="F381" i="1"/>
  <c r="F378" i="1" s="1"/>
  <c r="F389" i="1" s="1"/>
  <c r="I380" i="1"/>
  <c r="G380" i="1"/>
  <c r="H380" i="1" s="1"/>
  <c r="F380" i="1"/>
  <c r="I379" i="1"/>
  <c r="H379" i="1"/>
  <c r="G379" i="1"/>
  <c r="F379" i="1"/>
  <c r="I378" i="1"/>
  <c r="I389" i="1" s="1"/>
  <c r="G378" i="1"/>
  <c r="G389" i="1" s="1"/>
  <c r="E378" i="1"/>
  <c r="E389" i="1" s="1"/>
  <c r="D378" i="1"/>
  <c r="D389" i="1" s="1"/>
  <c r="H370" i="1"/>
  <c r="F370" i="1"/>
  <c r="D352" i="1"/>
  <c r="G352" i="1" s="1"/>
  <c r="H351" i="1"/>
  <c r="F351" i="1"/>
  <c r="E351" i="1"/>
  <c r="H350" i="1"/>
  <c r="F350" i="1"/>
  <c r="G350" i="1" s="1"/>
  <c r="E350" i="1"/>
  <c r="H349" i="1"/>
  <c r="G349" i="1"/>
  <c r="F349" i="1"/>
  <c r="E349" i="1"/>
  <c r="H348" i="1"/>
  <c r="H352" i="1" s="1"/>
  <c r="F348" i="1"/>
  <c r="F352" i="1" s="1"/>
  <c r="E348" i="1"/>
  <c r="E352" i="1" s="1"/>
  <c r="D341" i="1"/>
  <c r="H297" i="1"/>
  <c r="E297" i="1"/>
  <c r="H296" i="1"/>
  <c r="F296" i="1"/>
  <c r="E296" i="1"/>
  <c r="H295" i="1"/>
  <c r="F295" i="1"/>
  <c r="E295" i="1"/>
  <c r="H294" i="1"/>
  <c r="F294" i="1"/>
  <c r="F297" i="1" s="1"/>
  <c r="G297" i="1" s="1"/>
  <c r="E294" i="1"/>
  <c r="H252" i="1"/>
  <c r="E252" i="1"/>
  <c r="H251" i="1"/>
  <c r="F251" i="1"/>
  <c r="E251" i="1"/>
  <c r="H250" i="1"/>
  <c r="F250" i="1"/>
  <c r="E250" i="1"/>
  <c r="H249" i="1"/>
  <c r="F249" i="1"/>
  <c r="F252" i="1" s="1"/>
  <c r="G252" i="1" s="1"/>
  <c r="E249" i="1"/>
  <c r="G207" i="1"/>
  <c r="F207" i="1"/>
  <c r="E207" i="1"/>
  <c r="D207" i="1"/>
  <c r="G206" i="1"/>
  <c r="H205" i="1"/>
  <c r="F205" i="1"/>
  <c r="G205" i="1" s="1"/>
  <c r="E205" i="1"/>
  <c r="H204" i="1"/>
  <c r="H207" i="1" s="1"/>
  <c r="G204" i="1"/>
  <c r="F204" i="1"/>
  <c r="E204" i="1"/>
  <c r="D184" i="1"/>
  <c r="G184" i="1" s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F177" i="1"/>
  <c r="G177" i="1" s="1"/>
  <c r="E177" i="1"/>
  <c r="H176" i="1"/>
  <c r="F176" i="1"/>
  <c r="E176" i="1"/>
  <c r="H175" i="1"/>
  <c r="H184" i="1" s="1"/>
  <c r="F175" i="1"/>
  <c r="F184" i="1" s="1"/>
  <c r="E175" i="1"/>
  <c r="E184" i="1" s="1"/>
  <c r="D150" i="1"/>
  <c r="I148" i="1"/>
  <c r="G148" i="1"/>
  <c r="F148" i="1"/>
  <c r="I147" i="1"/>
  <c r="H147" i="1"/>
  <c r="G147" i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G140" i="1"/>
  <c r="G139" i="1" s="1"/>
  <c r="F140" i="1"/>
  <c r="F139" i="1" s="1"/>
  <c r="E139" i="1"/>
  <c r="I138" i="1"/>
  <c r="H138" i="1"/>
  <c r="F138" i="1"/>
  <c r="I137" i="1"/>
  <c r="H137" i="1"/>
  <c r="F137" i="1"/>
  <c r="I136" i="1"/>
  <c r="H136" i="1"/>
  <c r="H134" i="1" s="1"/>
  <c r="F136" i="1"/>
  <c r="I135" i="1"/>
  <c r="I134" i="1" s="1"/>
  <c r="I133" i="1" s="1"/>
  <c r="H135" i="1"/>
  <c r="F135" i="1"/>
  <c r="F134" i="1" s="1"/>
  <c r="G134" i="1"/>
  <c r="E134" i="1"/>
  <c r="E133" i="1" s="1"/>
  <c r="E150" i="1" s="1"/>
  <c r="I132" i="1"/>
  <c r="H132" i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F128" i="1" s="1"/>
  <c r="I128" i="1"/>
  <c r="G128" i="1"/>
  <c r="E128" i="1"/>
  <c r="C126" i="1"/>
  <c r="H106" i="1"/>
  <c r="I105" i="1"/>
  <c r="G105" i="1"/>
  <c r="H105" i="1" s="1"/>
  <c r="F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 s="1"/>
  <c r="D107" i="1" s="1"/>
  <c r="I94" i="1"/>
  <c r="G94" i="1"/>
  <c r="G92" i="1" s="1"/>
  <c r="F94" i="1"/>
  <c r="I93" i="1"/>
  <c r="H93" i="1"/>
  <c r="G93" i="1"/>
  <c r="F93" i="1"/>
  <c r="I92" i="1"/>
  <c r="F92" i="1"/>
  <c r="E92" i="1"/>
  <c r="C89" i="1"/>
  <c r="H85" i="1"/>
  <c r="F85" i="1"/>
  <c r="D85" i="1"/>
  <c r="G61" i="1"/>
  <c r="G60" i="1"/>
  <c r="H55" i="1"/>
  <c r="I32" i="1" s="1"/>
  <c r="F55" i="1"/>
  <c r="G32" i="1" s="1"/>
  <c r="H32" i="1" s="1"/>
  <c r="E55" i="1"/>
  <c r="E44" i="1"/>
  <c r="D44" i="1"/>
  <c r="H43" i="1"/>
  <c r="H42" i="1"/>
  <c r="I41" i="1"/>
  <c r="H41" i="1"/>
  <c r="G41" i="1"/>
  <c r="F41" i="1"/>
  <c r="H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4" i="1" s="1"/>
  <c r="G35" i="1"/>
  <c r="G34" i="1" s="1"/>
  <c r="F35" i="1"/>
  <c r="I33" i="1"/>
  <c r="H33" i="1"/>
  <c r="G33" i="1"/>
  <c r="F33" i="1"/>
  <c r="F32" i="1"/>
  <c r="F27" i="1" s="1"/>
  <c r="I31" i="1"/>
  <c r="H31" i="1"/>
  <c r="G31" i="1"/>
  <c r="F31" i="1"/>
  <c r="I30" i="1"/>
  <c r="G30" i="1"/>
  <c r="H30" i="1" s="1"/>
  <c r="F30" i="1"/>
  <c r="I29" i="1"/>
  <c r="G29" i="1"/>
  <c r="H29" i="1" s="1"/>
  <c r="F29" i="1"/>
  <c r="I28" i="1"/>
  <c r="G28" i="1"/>
  <c r="F28" i="1"/>
  <c r="I25" i="1"/>
  <c r="H25" i="1"/>
  <c r="G25" i="1"/>
  <c r="F25" i="1"/>
  <c r="F23" i="1" s="1"/>
  <c r="I24" i="1"/>
  <c r="I23" i="1" s="1"/>
  <c r="G24" i="1"/>
  <c r="G23" i="1" s="1"/>
  <c r="F24" i="1"/>
  <c r="H16" i="1"/>
  <c r="F16" i="1"/>
  <c r="D16" i="1"/>
  <c r="I27" i="1" l="1"/>
  <c r="I26" i="1" s="1"/>
  <c r="I44" i="1" s="1"/>
  <c r="F34" i="1"/>
  <c r="F26" i="1" s="1"/>
  <c r="F44" i="1" s="1"/>
  <c r="H35" i="1"/>
  <c r="G27" i="1"/>
  <c r="G133" i="1"/>
  <c r="G150" i="1" s="1"/>
  <c r="I150" i="1"/>
  <c r="G26" i="1"/>
  <c r="G44" i="1" s="1"/>
  <c r="G107" i="1"/>
  <c r="F133" i="1"/>
  <c r="F150" i="1" s="1"/>
  <c r="F107" i="1"/>
  <c r="H389" i="1"/>
  <c r="E421" i="1"/>
  <c r="I107" i="1"/>
  <c r="H128" i="1"/>
  <c r="H24" i="1"/>
  <c r="H23" i="1" s="1"/>
  <c r="H28" i="1"/>
  <c r="H27" i="1" s="1"/>
  <c r="H34" i="1"/>
  <c r="H26" i="1" s="1"/>
  <c r="G55" i="1"/>
  <c r="G175" i="1"/>
  <c r="H94" i="1"/>
  <c r="H92" i="1" s="1"/>
  <c r="H97" i="1"/>
  <c r="H96" i="1" s="1"/>
  <c r="H95" i="1" s="1"/>
  <c r="H140" i="1"/>
  <c r="H139" i="1" s="1"/>
  <c r="H133" i="1" s="1"/>
  <c r="G348" i="1"/>
  <c r="H44" i="1" l="1"/>
  <c r="H150" i="1"/>
  <c r="H107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<sst xmlns="http://schemas.openxmlformats.org/spreadsheetml/2006/main" count="358" uniqueCount="150">
  <si>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</si>
  <si>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</si>
  <si>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</si>
  <si>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</si>
  <si>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</si>
  <si>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</si>
  <si>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</si>
  <si>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</si>
  <si>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</si>
  <si>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</si>
  <si>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</si>
  <si>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</si>
  <si>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</si>
  <si>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</si>
  <si>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</si>
  <si>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</si>
  <si>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</si>
  <si>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</si>
  <si>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</si>
  <si>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</si>
  <si>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</si>
  <si>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</si>
  <si>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</si>
  <si>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</si>
  <si>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</si>
  <si>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</si>
  <si>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</si>
  <si>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</si>
  <si>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</si>
  <si>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</si>
  <si>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</si>
  <si>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</si>
  <si>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</si>
  <si>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</si>
  <si>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</si>
  <si>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</si>
  <si>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</si>
  <si>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</si>
  <si>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</si>
  <si>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</si>
  <si>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</si>
  <si>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</si>
  <si>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</si>
  <si>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</si>
  <si>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</si>
  <si>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</si>
  <si>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</si>
  <si>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</si>
  <si>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</si>
  <si>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</si>
  <si>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</si>
  <si>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</si>
  <si>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</si>
  <si>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</si>
  <si>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</si>
  <si>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</si>
  <si>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</si>
  <si>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</si>
  <si>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</si>
  <si>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</si>
  <si>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</si>
  <si>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</si>
  <si>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</si>
  <si>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</si>
  <si>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</si>
  <si>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</si>
  <si>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</si>
  <si>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</si>
  <si>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</si>
  <si>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</si>
  <si>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</si>
  <si>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</si>
  <si>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</si>
  <si>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</si>
  <si>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</si>
  <si>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</si>
  <si>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</si>
  <si>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</si>
  <si>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</si>
  <si>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</si>
  <si>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</si>
  <si>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</si>
  <si>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</si>
  <si>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</si>
  <si>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</si>
  <si>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</si>
  <si>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</si>
  <si>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</si>
  <si>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</si>
  <si>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</si>
  <si>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</si>
  <si>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</si>
  <si>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</si>
  <si>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</si>
  <si>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</si>
  <si>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</si>
  <si>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</si>
  <si>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</si>
  <si>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</si>
  <si>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</si>
  <si>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</si>
  <si>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</si>
  <si>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</si>
  <si>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</si>
  <si>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</si>
  <si>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</si>
  <si>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</si>
  <si>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</si>
  <si>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</si>
  <si>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</si>
  <si>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</si>
  <si>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</si>
  <si>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</si>
  <si>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</si>
  <si>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</si>
  <si>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</si>
  <si>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</si>
  <si>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</si>
  <si>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</si>
  <si>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</si>
  <si>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</si>
  <si>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</si>
  <si>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</si>
  <si>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</si>
  <si>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</si>
  <si>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</si>
  <si>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</si>
  <si>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</si>
  <si>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</si>
  <si>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</si>
  <si>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</si>
  <si>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</si>
  <si>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</si>
  <si>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</si>
  <si>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</si>
  <si>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</si>
  <si>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</si>
  <si>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</si>
  <si>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</si>
  <si>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</si>
  <si>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</si>
  <si>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</si>
  <si>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41</t>
  </si>
  <si>
    <t>FANGST T.O.M UKE 41</t>
  </si>
  <si>
    <t>RESTKVOTER UKE 41</t>
  </si>
  <si>
    <t>FANGST T.O.M UKE 41 2022</t>
  </si>
  <si>
    <r>
      <t>3</t>
    </r>
    <r>
      <rPr>
        <sz val="9"/>
        <color indexed="8"/>
        <rFont val="Calibri"/>
        <family val="2"/>
      </rPr>
      <t xml:space="preserve"> Det er fisket 7 077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</si>
  <si>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711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</si>
  <si>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67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</si>
  <si>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655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</si>
</sst>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D19" sqref="D19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139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0.48149999999999998</v>
      </c>
      <c r="G23" s="28">
        <f t="shared" si="0"/>
        <v>63018.306300000004</v>
      </c>
      <c r="H23" s="11">
        <f t="shared" si="0"/>
        <v>23808.6937</v>
      </c>
      <c r="I23" s="11">
        <f t="shared" si="0"/>
        <v>78696.592600000004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0</f>
        <v>0</v>
      </c>
      <c r="G24" s="23">
        <f>62580.61445</f>
        <v>62580.614450000001</v>
      </c>
      <c r="H24" s="23">
        <f>E24-G24</f>
        <v>23464.385549999999</v>
      </c>
      <c r="I24" s="23">
        <f>78166.9073</f>
        <v>78166.907300000006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0.4815</f>
        <v>0.48149999999999998</v>
      </c>
      <c r="G25" s="23">
        <f>437.69185</f>
        <v>437.69184999999999</v>
      </c>
      <c r="H25" s="23">
        <f>E25-G25</f>
        <v>344.30815000000001</v>
      </c>
      <c r="I25" s="23">
        <f>529.6853</f>
        <v>529.68529999999998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755.41923999999995</v>
      </c>
      <c r="G26" s="11">
        <f t="shared" si="1"/>
        <v>178177.55003000001</v>
      </c>
      <c r="H26" s="11">
        <f t="shared" si="1"/>
        <v>19392.449969999998</v>
      </c>
      <c r="I26" s="11">
        <f t="shared" si="1"/>
        <v>215881.47504999998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557.54558999999995</v>
      </c>
      <c r="G27" s="134">
        <f t="shared" ref="G27:I27" si="2">G28+G29+G30+G31+G32</f>
        <v>140621.14006000001</v>
      </c>
      <c r="H27" s="134">
        <f t="shared" si="2"/>
        <v>12029.859939999998</v>
      </c>
      <c r="I27" s="134">
        <f t="shared" si="2"/>
        <v>174888.49467999997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112.83169</f>
        <v>112.83168999999999</v>
      </c>
      <c r="G28" s="129">
        <f>37441.908 - F57</f>
        <v>35453.908000000003</v>
      </c>
      <c r="H28" s="129">
        <f t="shared" ref="H28:H40" si="3">E28-G28</f>
        <v>4095.0919999999969</v>
      </c>
      <c r="I28" s="129">
        <f>43592.98111 - H57</f>
        <v>41174.981110000001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243.98691</f>
        <v>243.98690999999999</v>
      </c>
      <c r="G29" s="129">
        <f>40197.105 - F58</f>
        <v>37708.105000000003</v>
      </c>
      <c r="H29" s="129">
        <f t="shared" si="3"/>
        <v>3055.8949999999968</v>
      </c>
      <c r="I29" s="129">
        <f>48766.67812 - H58</f>
        <v>46797.678119999997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12.40873</f>
        <v>12.40873</v>
      </c>
      <c r="G30" s="129">
        <f>37526.50676 - F59</f>
        <v>36361.506759999997</v>
      </c>
      <c r="H30" s="129">
        <f t="shared" si="3"/>
        <v>905.49324000000342</v>
      </c>
      <c r="I30" s="129">
        <f>48084.34887 - H59</f>
        <v>46941.348870000002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8.31826</f>
        <v>8.3182600000000004</v>
      </c>
      <c r="G31" s="129">
        <f>25197.6203 - F60</f>
        <v>24576.620299999999</v>
      </c>
      <c r="H31" s="129">
        <f t="shared" si="3"/>
        <v>830.37970000000132</v>
      </c>
      <c r="I31" s="129">
        <f>34233.48658 - H60</f>
        <v>33549.486579999997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180</v>
      </c>
      <c r="G32" s="129">
        <f>F55</f>
        <v>6521</v>
      </c>
      <c r="H32" s="129">
        <f t="shared" si="3"/>
        <v>3143</v>
      </c>
      <c r="I32" s="129">
        <f>H55</f>
        <v>6425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117.00815</f>
        <v>117.00815</v>
      </c>
      <c r="G33" s="134">
        <f>16536.42364</f>
        <v>16536.423640000001</v>
      </c>
      <c r="H33" s="134">
        <f t="shared" si="3"/>
        <v>7049.5763599999991</v>
      </c>
      <c r="I33" s="134">
        <f>20065.4398</f>
        <v>20065.4398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80.865499999999997</v>
      </c>
      <c r="G34" s="134">
        <f>G35+G36</f>
        <v>21019.98633</v>
      </c>
      <c r="H34" s="134">
        <f t="shared" si="3"/>
        <v>313.01367000000027</v>
      </c>
      <c r="I34" s="134">
        <f>I35+I36</f>
        <v>20927.540570000001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49.8655</f>
        <v>49.865499999999997</v>
      </c>
      <c r="G35" s="134">
        <f>24801.98633 - F61 - F62</f>
        <v>20398.98633</v>
      </c>
      <c r="H35" s="129">
        <f t="shared" si="3"/>
        <v>-265.98632999999973</v>
      </c>
      <c r="I35" s="129">
        <f>21926.54057 - H61 - H62</f>
        <v>20243.540570000001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31</v>
      </c>
      <c r="G36" s="73">
        <f>F60</f>
        <v>621</v>
      </c>
      <c r="H36" s="73">
        <f t="shared" si="3"/>
        <v>579</v>
      </c>
      <c r="I36" s="73">
        <f>H60</f>
        <v>684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445.0706</f>
        <v>445.07060000000001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2.1004</f>
        <v>2.1004</v>
      </c>
      <c r="G38" s="100">
        <f>507.14962</f>
        <v>507.14962000000003</v>
      </c>
      <c r="H38" s="100">
        <f t="shared" si="3"/>
        <v>343.85037999999997</v>
      </c>
      <c r="I38" s="100">
        <f>473.09363</f>
        <v>473.09363000000002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7</v>
      </c>
      <c r="G39" s="100">
        <f>F61</f>
        <v>4403</v>
      </c>
      <c r="H39" s="100">
        <f t="shared" si="3"/>
        <v>-1355</v>
      </c>
      <c r="I39" s="100">
        <f>H61</f>
        <v>1683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3.7878</f>
        <v>3.7877999999999998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>
        <f>0.82</f>
        <v>0.82</v>
      </c>
      <c r="G41" s="100">
        <f>356.51735</f>
        <v>356.51735000000002</v>
      </c>
      <c r="H41" s="100">
        <f>E41-G41</f>
        <v>-56.517350000000022</v>
      </c>
      <c r="I41" s="100">
        <f>125.18005</f>
        <v>125.18004999999999</v>
      </c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769.61193999999989</v>
      </c>
      <c r="G44" s="78">
        <f t="shared" si="4"/>
        <v>254288.87590000004</v>
      </c>
      <c r="H44" s="78">
        <f t="shared" si="4"/>
        <v>44407.124099999972</v>
      </c>
      <c r="I44" s="78">
        <f t="shared" si="4"/>
        <v>304425.35035999998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147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180</v>
      </c>
      <c r="F55" s="11">
        <f>F59+F58+F57+F56</f>
        <v>6521</v>
      </c>
      <c r="G55" s="299">
        <f>D55-F55</f>
        <v>3319</v>
      </c>
      <c r="H55" s="11">
        <f>H59+H58+H57+H56</f>
        <v>6425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55</v>
      </c>
      <c r="F56" s="129">
        <v>879</v>
      </c>
      <c r="G56" s="300"/>
      <c r="H56" s="129">
        <v>895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103</v>
      </c>
      <c r="F57" s="129">
        <v>1988</v>
      </c>
      <c r="G57" s="300"/>
      <c r="H57" s="129">
        <v>2418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15</v>
      </c>
      <c r="F58" s="129">
        <v>2489</v>
      </c>
      <c r="G58" s="300"/>
      <c r="H58" s="129">
        <v>1969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7</v>
      </c>
      <c r="F59" s="194">
        <v>1165</v>
      </c>
      <c r="G59" s="301"/>
      <c r="H59" s="194">
        <v>1143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31</v>
      </c>
      <c r="F60" s="97">
        <v>621</v>
      </c>
      <c r="G60" s="97">
        <f>D60-F60</f>
        <v>579</v>
      </c>
      <c r="H60" s="97">
        <v>684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7</v>
      </c>
      <c r="F61" s="141">
        <v>4403</v>
      </c>
      <c r="G61" s="141">
        <f>D61-F61</f>
        <v>-1403</v>
      </c>
      <c r="H61" s="141">
        <v>1683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5.7218</v>
      </c>
      <c r="G92" s="11">
        <f t="shared" si="5"/>
        <v>40156.581210000004</v>
      </c>
      <c r="H92" s="11">
        <f t="shared" si="5"/>
        <v>-5357.5812100000012</v>
      </c>
      <c r="I92" s="11">
        <f t="shared" si="5"/>
        <v>36671.89933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0</f>
        <v>0</v>
      </c>
      <c r="G93" s="23">
        <f>39611.98842</f>
        <v>39611.988420000001</v>
      </c>
      <c r="H93" s="23">
        <f>E93-G93</f>
        <v>-5624.9884200000015</v>
      </c>
      <c r="I93" s="23">
        <f>35937.4661199999</f>
        <v>35937.466119999997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5.7218</f>
        <v>5.7218</v>
      </c>
      <c r="G94" s="52">
        <f>544.59279</f>
        <v>544.59279000000004</v>
      </c>
      <c r="H94" s="52">
        <f>E94-G94</f>
        <v>267.40720999999996</v>
      </c>
      <c r="I94" s="52">
        <f>734.43321</f>
        <v>734.43321000000003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849.10374000000002</v>
      </c>
      <c r="G95" s="11">
        <f t="shared" si="6"/>
        <v>32089.05731</v>
      </c>
      <c r="H95" s="11">
        <f t="shared" si="6"/>
        <v>27410.94269</v>
      </c>
      <c r="I95" s="11">
        <f t="shared" si="6"/>
        <v>36592.263959999997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621.45425</v>
      </c>
      <c r="G96" s="134">
        <f t="shared" si="7"/>
        <v>22625.67959</v>
      </c>
      <c r="H96" s="134">
        <f t="shared" si="7"/>
        <v>21865.32041</v>
      </c>
      <c r="I96" s="134">
        <f t="shared" si="7"/>
        <v>28275.482550000001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176.84385</f>
        <v>176.84385</v>
      </c>
      <c r="G97" s="129">
        <f>3698.56164</f>
        <v>3698.5616399999999</v>
      </c>
      <c r="H97" s="129">
        <f t="shared" ref="H97:H104" si="8">E97-G97</f>
        <v>8185.1383600000008</v>
      </c>
      <c r="I97" s="129">
        <f>3340.81479</f>
        <v>3340.8147899999999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408.99911</f>
        <v>408.99910999999997</v>
      </c>
      <c r="G98" s="129">
        <f>7121.30928</f>
        <v>7121.3092800000004</v>
      </c>
      <c r="H98" s="129">
        <f t="shared" si="8"/>
        <v>5543.79072</v>
      </c>
      <c r="I98" s="129">
        <f>9382.7168</f>
        <v>9382.7168000000001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23.38477</f>
        <v>23.38477</v>
      </c>
      <c r="G99" s="129">
        <f>6610.58919</f>
        <v>6610.5891899999997</v>
      </c>
      <c r="H99" s="129">
        <f t="shared" si="8"/>
        <v>5355.0108100000007</v>
      </c>
      <c r="I99" s="129">
        <f>8037.31421</f>
        <v>8037.3142099999995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12.22652</f>
        <v>12.226520000000001</v>
      </c>
      <c r="G100" s="129">
        <f>5195.21948</f>
        <v>5195.2194799999997</v>
      </c>
      <c r="H100" s="129">
        <f t="shared" si="8"/>
        <v>2781.3805200000006</v>
      </c>
      <c r="I100" s="129">
        <f>7514.63675</f>
        <v>7514.6367499999997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149.37427</f>
        <v>149.37427</v>
      </c>
      <c r="G101" s="134">
        <f>7704.44297</f>
        <v>7704.4429700000001</v>
      </c>
      <c r="H101" s="134">
        <f t="shared" si="8"/>
        <v>2686.5570299999999</v>
      </c>
      <c r="I101" s="134">
        <f>6691.40081</f>
        <v>6691.4008100000001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78.27522</f>
        <v>78.275220000000004</v>
      </c>
      <c r="G102" s="77">
        <f>1758.93475</f>
        <v>1758.9347499999999</v>
      </c>
      <c r="H102" s="77">
        <f t="shared" si="8"/>
        <v>2859.0652500000001</v>
      </c>
      <c r="I102" s="77">
        <f>1625.3806</f>
        <v>1625.3806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11.36609</f>
        <v>11.36609</v>
      </c>
      <c r="H103" s="100">
        <f t="shared" si="8"/>
        <v>308.63391000000001</v>
      </c>
      <c r="I103" s="100">
        <f>22.01599</f>
        <v>22.015989999999999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0.17148</f>
        <v>0.17147999999999999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00">
        <f>2.134</f>
        <v>2.1339999999999999</v>
      </c>
      <c r="G105" s="100">
        <f>11.0366</f>
        <v>11.0366</v>
      </c>
      <c r="H105" s="141">
        <f>E105-G105</f>
        <v>38.9634</v>
      </c>
      <c r="I105" s="100">
        <f>4.7883</f>
        <v>4.7882999999999996</v>
      </c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857.13102000000003</v>
      </c>
      <c r="G107" s="78">
        <f t="shared" si="9"/>
        <v>72576.809009999997</v>
      </c>
      <c r="H107" s="78">
        <f t="shared" si="9"/>
        <v>22392.190990000014</v>
      </c>
      <c r="I107" s="78">
        <f t="shared" si="9"/>
        <v>73634.702359999996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148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317.59829999999999</v>
      </c>
      <c r="G128" s="11">
        <f t="shared" si="11"/>
        <v>56042.131519999995</v>
      </c>
      <c r="H128" s="11">
        <f t="shared" si="11"/>
        <v>14664.868480000001</v>
      </c>
      <c r="I128" s="11">
        <f t="shared" si="11"/>
        <v>54149.442770000001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24.91155</f>
        <v>24.911549999999998</v>
      </c>
      <c r="G129" s="23">
        <f>49179.35172</f>
        <v>49179.351719999999</v>
      </c>
      <c r="H129" s="23">
        <f>E129-G129</f>
        <v>7045.6482800000013</v>
      </c>
      <c r="I129" s="23">
        <f>45900.09596</f>
        <v>45900.095959999999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292.68675</f>
        <v>292.68675000000002</v>
      </c>
      <c r="G130" s="23">
        <f>6739.69975</f>
        <v>6739.6997499999998</v>
      </c>
      <c r="H130" s="23">
        <f>E130-G130</f>
        <v>7242.3002500000002</v>
      </c>
      <c r="I130" s="23">
        <f>8015.74381</f>
        <v>8015.7438099999999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23">
        <f>0</f>
        <v>0</v>
      </c>
      <c r="G131" s="23">
        <f>123.08005</f>
        <v>123.08005</v>
      </c>
      <c r="H131" s="58">
        <f>E131-G131</f>
        <v>376.91994999999997</v>
      </c>
      <c r="I131" s="23">
        <f>233.603</f>
        <v>233.60300000000001</v>
      </c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84.412</f>
        <v>84.412000000000006</v>
      </c>
      <c r="G132" s="97">
        <f>38801.16118+7076.58503</f>
        <v>45877.746210000005</v>
      </c>
      <c r="H132" s="97">
        <f>E132-G132</f>
        <v>3407.2537899999952</v>
      </c>
      <c r="I132" s="97">
        <f>40469.29148</f>
        <v>40469.29148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1026.5450499999999</v>
      </c>
      <c r="G133" s="96">
        <f t="shared" ref="G133" si="12">G134+G139+G142</f>
        <v>61514.924469999991</v>
      </c>
      <c r="H133" s="96">
        <f>H134+H139+H142</f>
        <v>19597.075530000006</v>
      </c>
      <c r="I133" s="96">
        <f>I134+I139+I142</f>
        <v>64063.420429999998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691.37238000000002</v>
      </c>
      <c r="G134" s="127">
        <f>G135+G136+G138+G137</f>
        <v>47284.689139999988</v>
      </c>
      <c r="H134" s="127">
        <f>H135+H136+H137+H138</f>
        <v>12348.310860000005</v>
      </c>
      <c r="I134" s="127">
        <f>I135+I136+I137+I138</f>
        <v>50486.021499999995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284.68732</f>
        <v>284.68732</v>
      </c>
      <c r="G135" s="129">
        <v>8988.4911699999993</v>
      </c>
      <c r="H135" s="129">
        <f>E135-G135</f>
        <v>8549.5088300000007</v>
      </c>
      <c r="I135" s="129">
        <f>8442.29421</f>
        <v>8442.29421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213.49275</f>
        <v>213.49275</v>
      </c>
      <c r="G136" s="129">
        <v>14160.745069999999</v>
      </c>
      <c r="H136" s="129">
        <f>E136-G136</f>
        <v>957.25493000000097</v>
      </c>
      <c r="I136" s="129">
        <f>11470.59556</f>
        <v>11470.59556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67.95235</f>
        <v>67.952349999999996</v>
      </c>
      <c r="G137" s="129">
        <v>13338.386889999998</v>
      </c>
      <c r="H137" s="129">
        <f>E137-G137</f>
        <v>1717.6131100000021</v>
      </c>
      <c r="I137" s="129">
        <f>16425.90441</f>
        <v>16425.904409999999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125.23996</f>
        <v>125.23996</v>
      </c>
      <c r="G138" s="129">
        <v>10797.066009999999</v>
      </c>
      <c r="H138" s="129">
        <f>E138-G138</f>
        <v>1123.9339900000014</v>
      </c>
      <c r="I138" s="129">
        <f>14147.22732</f>
        <v>14147.22732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163.95088999999999</v>
      </c>
      <c r="G139" s="134">
        <f>SUM(G140:G141)</f>
        <v>7247.2195499999998</v>
      </c>
      <c r="H139" s="134">
        <f>H140+H141</f>
        <v>2203.7804500000002</v>
      </c>
      <c r="I139" s="134">
        <f>SUM(I140:I141)</f>
        <v>6457.8771400000005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163.15274</f>
        <v>163.15273999999999</v>
      </c>
      <c r="G140" s="129">
        <f>6986.59189</f>
        <v>6986.5918899999997</v>
      </c>
      <c r="H140" s="129">
        <f t="shared" ref="H140:H147" si="13">E140-G140</f>
        <v>1964.4081100000003</v>
      </c>
      <c r="I140" s="129">
        <f>6171.70164</f>
        <v>6171.7016400000002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0.79815</f>
        <v>0.79815000000000003</v>
      </c>
      <c r="G141" s="129">
        <f>260.62766</f>
        <v>260.62765999999999</v>
      </c>
      <c r="H141" s="129">
        <f t="shared" si="13"/>
        <v>239.37234000000001</v>
      </c>
      <c r="I141" s="129">
        <f>286.1755</f>
        <v>286.1755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171.22178</f>
        <v>171.22178</v>
      </c>
      <c r="G142" s="77">
        <f>6983.01578</f>
        <v>6983.0157799999997</v>
      </c>
      <c r="H142" s="77">
        <f t="shared" si="13"/>
        <v>5044.9842200000003</v>
      </c>
      <c r="I142" s="77">
        <f>7119.52179</f>
        <v>7119.5217899999998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31.69565</f>
        <v>31.695650000000001</v>
      </c>
      <c r="H143" s="141">
        <f t="shared" si="13"/>
        <v>105.30435</v>
      </c>
      <c r="I143" s="141">
        <f>26.85627</f>
        <v>26.856269999999999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2.38466</f>
        <v>2.3846599999999998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00">
        <f>0.001</f>
        <v>1E-3</v>
      </c>
      <c r="G147" s="100">
        <f>27.67243</f>
        <v>27.672429999999999</v>
      </c>
      <c r="H147" s="141">
        <f t="shared" si="13"/>
        <v>167.32757000000001</v>
      </c>
      <c r="I147" s="100">
        <f>7.07005</f>
        <v>7.0700500000000002</v>
      </c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>
        <f>1.512</f>
        <v>1.512</v>
      </c>
      <c r="G148" s="141">
        <f>112.79763</f>
        <v>112.79763</v>
      </c>
      <c r="H148" s="141"/>
      <c r="I148" s="141">
        <f>69.5448</f>
        <v>69.544799999999995</v>
      </c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1432.4530099999999</v>
      </c>
      <c r="G150" s="78">
        <f>G128+G132+G133+G143+G144+G145+G146+G147+G148</f>
        <v>165869.54891000001</v>
      </c>
      <c r="H150" s="78">
        <f>H128+H132+H133+H143+H144+H145+H146+H147+H148</f>
        <v>37929.248720000003</v>
      </c>
      <c r="I150" s="78">
        <f>I128+I132+I133+I143+I144+I145+I146+I147+I148</f>
        <v>161092.6018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146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0</f>
        <v>0</v>
      </c>
      <c r="F175" s="274">
        <f>1549.69022</f>
        <v>1549.69022</v>
      </c>
      <c r="G175" s="45">
        <f>D175-F175-F176</f>
        <v>1693.8194700000001</v>
      </c>
      <c r="H175" s="274">
        <f>1453.88871</f>
        <v>1453.8887099999999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8.34217</f>
        <v>8.3421699999999994</v>
      </c>
      <c r="F176" s="154">
        <f>1744.49031</f>
        <v>1744.4903099999999</v>
      </c>
      <c r="G176" s="215"/>
      <c r="H176" s="154">
        <f>1641.15771</f>
        <v>1641.15771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74.78746</f>
        <v>74.787459999999996</v>
      </c>
      <c r="G177" s="174">
        <f>D177-F177</f>
        <v>125.21254</v>
      </c>
      <c r="H177" s="174">
        <f>50.78362</f>
        <v>50.783619999999999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28.378039999999999</v>
      </c>
      <c r="F178" s="183">
        <f>F179+F180+F181</f>
        <v>8091.15121</v>
      </c>
      <c r="G178" s="183">
        <f>D178-F178</f>
        <v>-610.15120999999999</v>
      </c>
      <c r="H178" s="183">
        <f>H179+H180+H181</f>
        <v>7738.3165399999998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4.20289</f>
        <v>4.20289</v>
      </c>
      <c r="F179" s="129">
        <f>4171.35752</f>
        <v>4171.3575199999996</v>
      </c>
      <c r="G179" s="129"/>
      <c r="H179" s="129">
        <f>3970.51078</f>
        <v>3970.5107800000001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12.04502</f>
        <v>12.045019999999999</v>
      </c>
      <c r="F180" s="129">
        <f>2495.06428</f>
        <v>2495.0642800000001</v>
      </c>
      <c r="G180" s="129"/>
      <c r="H180" s="129">
        <f>2420.36969</f>
        <v>2420.36969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12.13013</f>
        <v>12.130129999999999</v>
      </c>
      <c r="F181" s="194">
        <f>1424.72941</f>
        <v>1424.7294099999999</v>
      </c>
      <c r="G181" s="194"/>
      <c r="H181" s="194">
        <f>1347.43607</f>
        <v>1347.43607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36.720209999999994</v>
      </c>
      <c r="F184" s="196">
        <f>F175+F176+F177+F178+F182+F183</f>
        <v>11460.119199999999</v>
      </c>
      <c r="G184" s="196">
        <f>D184-F184</f>
        <v>1274.8808000000008</v>
      </c>
      <c r="H184" s="196">
        <f>H175+H176+H177+H178+H182+H183</f>
        <v>10884.146580000001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0</f>
        <v>0</v>
      </c>
      <c r="F204" s="124">
        <f>40668.21341</f>
        <v>40668.213409999997</v>
      </c>
      <c r="G204" s="124">
        <f>D204-F204</f>
        <v>3170.7865900000033</v>
      </c>
      <c r="H204" s="124">
        <f>36525.01962</f>
        <v>36525.019619999999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0.0835</f>
        <v>8.3500000000000005E-2</v>
      </c>
      <c r="F205" s="124">
        <f>65.68773</f>
        <v>65.687730000000002</v>
      </c>
      <c r="G205" s="124">
        <f>D205-F205</f>
        <v>34.312269999999998</v>
      </c>
      <c r="H205" s="124">
        <f>58.5716</f>
        <v>58.571599999999997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8.3500000000000005E-2</v>
      </c>
      <c r="F207" s="190">
        <f>SUM(F204:F206)</f>
        <v>40733.901139999994</v>
      </c>
      <c r="G207" s="190">
        <f>D207-F207</f>
        <v>3247.0988600000055</v>
      </c>
      <c r="H207" s="190">
        <f>SUM(H204:H206)</f>
        <v>36583.591220000002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37.23914</f>
        <v>37.239139999999999</v>
      </c>
      <c r="F249" s="77">
        <f>3665.29768</f>
        <v>3665.2976800000001</v>
      </c>
      <c r="G249" s="77"/>
      <c r="H249" s="77">
        <f>2817.16148</f>
        <v>2817.1614800000002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52.11505</f>
        <v>52.115049999999997</v>
      </c>
      <c r="F250" s="77">
        <f>5172.23887</f>
        <v>5172.2388700000001</v>
      </c>
      <c r="G250" s="77"/>
      <c r="H250" s="77">
        <f>4734.22503</f>
        <v>4734.2250299999996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3.17618</f>
        <v>3.17618</v>
      </c>
      <c r="F251" s="124">
        <f>608.0745</f>
        <v>608.07449999999994</v>
      </c>
      <c r="G251" s="168"/>
      <c r="H251" s="124">
        <f>595.21183</f>
        <v>595.21182999999996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92.530369999999991</v>
      </c>
      <c r="F252" s="190">
        <f>SUM(F249:F251)</f>
        <v>9445.6110500000013</v>
      </c>
      <c r="G252" s="190">
        <f>D252-F252</f>
        <v>1008.3889499999987</v>
      </c>
      <c r="H252" s="190">
        <f>SUM(H249:H251)</f>
        <v>8146.5983400000005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58.5568</f>
        <v>58.556800000000003</v>
      </c>
      <c r="F294" s="77">
        <f>5600.56301</f>
        <v>5600.5630099999998</v>
      </c>
      <c r="G294" s="77"/>
      <c r="H294" s="77">
        <f>4084.31511</f>
        <v>4084.31511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80.862</f>
        <v>80.861999999999995</v>
      </c>
      <c r="F295" s="77">
        <f>3357.39898</f>
        <v>3357.3989799999999</v>
      </c>
      <c r="G295" s="77"/>
      <c r="H295" s="77">
        <f>3058.1395</f>
        <v>3058.1395000000002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0.8132</f>
        <v>0.81320000000000003</v>
      </c>
      <c r="F296" s="124">
        <f>497.3115</f>
        <v>497.31150000000002</v>
      </c>
      <c r="G296" s="168"/>
      <c r="H296" s="124">
        <f>527.86765</f>
        <v>527.86765000000003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140.232</v>
      </c>
      <c r="F297" s="190">
        <f>SUM(F294:F296)</f>
        <v>9455.2734899999996</v>
      </c>
      <c r="G297" s="190">
        <f>D297-F297</f>
        <v>-1379.2734899999996</v>
      </c>
      <c r="H297" s="190">
        <f>SUM(H294:H296)</f>
        <v>7670.3222600000008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2.77889</f>
        <v>2.7788900000000001</v>
      </c>
      <c r="F348" s="124">
        <f>546.42264</f>
        <v>546.42264</v>
      </c>
      <c r="G348" s="124">
        <f>D348-F348</f>
        <v>253.57736</v>
      </c>
      <c r="H348" s="124">
        <f>353.12618</f>
        <v>353.12617999999998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105.62066</f>
        <v>105.62066</v>
      </c>
      <c r="F349" s="124">
        <f>2653.01094</f>
        <v>2653.0109400000001</v>
      </c>
      <c r="G349" s="124">
        <f>D349-F349</f>
        <v>-159.01094000000012</v>
      </c>
      <c r="H349" s="124">
        <f>1669.79873</f>
        <v>1669.79873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0.9702</f>
        <v>0.97019999999999995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1.70854</f>
        <v>1.7085399999999999</v>
      </c>
      <c r="G351" s="124"/>
      <c r="H351" s="168">
        <f>6.84606</f>
        <v>6.8460599999999996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108.39955</v>
      </c>
      <c r="F352" s="190">
        <f>SUM(F348:F351)</f>
        <v>3203.8808599999998</v>
      </c>
      <c r="G352" s="190">
        <f>D352-F352</f>
        <v>95.119140000000243</v>
      </c>
      <c r="H352" s="190">
        <f>H348+H349+H350+H351</f>
        <v>2030.74117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158.38297</v>
      </c>
      <c r="G378" s="251">
        <f t="shared" si="15"/>
        <v>16329.889090000001</v>
      </c>
      <c r="H378" s="251">
        <f>H382+H381+H380+H379</f>
        <v>-227.8890899999999</v>
      </c>
      <c r="I378" s="251">
        <f t="shared" si="15"/>
        <v>9249.6826099999998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9910.4658</f>
        <v>9910.4657999999999</v>
      </c>
      <c r="H379" s="255">
        <f t="shared" ref="H379:H383" si="16">E379-G379</f>
        <v>-1733.4657999999999</v>
      </c>
      <c r="I379" s="255">
        <f>6255.32887</f>
        <v>6255.3288700000003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110.025</f>
        <v>110.02500000000001</v>
      </c>
      <c r="G380" s="255">
        <f>1574.0595</f>
        <v>1574.0595000000001</v>
      </c>
      <c r="H380" s="255">
        <f t="shared" si="16"/>
        <v>553.94049999999993</v>
      </c>
      <c r="I380" s="255">
        <f>564.91155</f>
        <v>564.91155000000003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3.76957</f>
        <v>3.7695699999999999</v>
      </c>
      <c r="G381" s="255">
        <f>1845.02189</f>
        <v>1845.02189</v>
      </c>
      <c r="H381" s="255">
        <f t="shared" si="16"/>
        <v>-488.02188999999998</v>
      </c>
      <c r="I381" s="255">
        <f>1554.53359</f>
        <v>1554.53359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44.5884</f>
        <v>44.5884</v>
      </c>
      <c r="G382" s="255">
        <f>3000.3419</f>
        <v>3000.3418999999999</v>
      </c>
      <c r="H382" s="255">
        <f t="shared" si="16"/>
        <v>1439.6581000000001</v>
      </c>
      <c r="I382" s="255">
        <f>874.9086</f>
        <v>874.90859999999998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0.189</f>
        <v>0.189</v>
      </c>
      <c r="G383" s="266">
        <f>5110.81228</f>
        <v>5110.8122800000001</v>
      </c>
      <c r="H383" s="266">
        <f t="shared" si="16"/>
        <v>389.1877199999999</v>
      </c>
      <c r="I383" s="266">
        <f>4562.7196</f>
        <v>4562.7196000000004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253.46892</v>
      </c>
      <c r="G384" s="267">
        <f>G386+G385</f>
        <v>4114.7396500000004</v>
      </c>
      <c r="H384" s="267">
        <f>E384-G384</f>
        <v>3885.2603499999996</v>
      </c>
      <c r="I384" s="267">
        <f>I386+I385</f>
        <v>4329.6498200000005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869.9003</f>
        <v>869.90030000000002</v>
      </c>
      <c r="H385" s="255"/>
      <c r="I385" s="255">
        <f>1158.2507</f>
        <v>1158.2507000000001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253.46892</f>
        <v>253.46892</v>
      </c>
      <c r="G386" s="276">
        <f>3244.83935</f>
        <v>3244.8393500000002</v>
      </c>
      <c r="H386" s="276"/>
      <c r="I386" s="276">
        <f>3171.39912</f>
        <v>3171.39912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0.7485</f>
        <v>0.74850000000000005</v>
      </c>
      <c r="H387" s="266">
        <f>E387-G387</f>
        <v>9.2515000000000001</v>
      </c>
      <c r="I387" s="266">
        <f>0.4293</f>
        <v>0.42930000000000001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0.0718</f>
        <v>7.1800000000000003E-2</v>
      </c>
      <c r="G388" s="266">
        <f>116.82558</f>
        <v>116.82558</v>
      </c>
      <c r="H388" s="266">
        <f>E388-G388</f>
        <v>-116.82558</v>
      </c>
      <c r="I388" s="266">
        <f>234.30372</f>
        <v>234.30372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412.11268999999999</v>
      </c>
      <c r="G389" s="285">
        <f t="shared" si="17"/>
        <v>25673.015100000004</v>
      </c>
      <c r="H389" s="285">
        <f>H378+H383+H384+H387+H388</f>
        <v>3938.9848999999995</v>
      </c>
      <c r="I389" s="285">
        <f t="shared" si="17"/>
        <v>18376.785049999999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1463.1168499999999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1123.27877</f>
        <v>1123.2787699999999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40.10613</v>
      </c>
      <c r="F417" s="36">
        <f>SUM(F418:F419)</f>
        <v>257.10404</v>
      </c>
      <c r="G417" s="87"/>
      <c r="H417" s="36">
        <f>SUM(H418:H419)</f>
        <v>559.99171999999999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30.58163</f>
        <v>30.581630000000001</v>
      </c>
      <c r="F418" s="30">
        <f>192.94163</f>
        <v>192.94163</v>
      </c>
      <c r="G418" s="99"/>
      <c r="H418" s="30">
        <f>457.21848</f>
        <v>457.21848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9.5245</f>
        <v>9.5244999999999997</v>
      </c>
      <c r="F419" s="30">
        <f>64.16241</f>
        <v>64.162409999999994</v>
      </c>
      <c r="G419" s="110"/>
      <c r="H419" s="30">
        <f>102.77324</f>
        <v>102.77324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40.10613</v>
      </c>
      <c r="F421" s="42">
        <f>F411+F414+F417+F420</f>
        <v>3916.9680199999998</v>
      </c>
      <c r="G421" s="43"/>
      <c r="H421" s="42">
        <f>H411+H414+H417+H420</f>
        <v>3758.6869200000001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41&amp;R16.10.2023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2023-10-16T07:05:54Z</dcterms:modified>
</cp:coreProperties>
</file>