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85980BD9-A361-4640-84D7-63A006B90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/>
  <c r="H138" i="1"/>
  <c r="D331" i="1"/>
  <c r="H329" i="1"/>
  <c r="F329" i="1"/>
  <c r="E329" i="1"/>
  <c r="E327" i="1" s="1"/>
  <c r="H328" i="1"/>
  <c r="H327" i="1" s="1"/>
  <c r="F328" i="1"/>
  <c r="E328" i="1"/>
  <c r="F327" i="1"/>
  <c r="G327" i="1" s="1"/>
  <c r="H326" i="1"/>
  <c r="F326" i="1"/>
  <c r="E326" i="1"/>
  <c r="H325" i="1"/>
  <c r="F325" i="1"/>
  <c r="E325" i="1"/>
  <c r="E324" i="1" s="1"/>
  <c r="H324" i="1"/>
  <c r="F324" i="1"/>
  <c r="G324" i="1" s="1"/>
  <c r="H323" i="1"/>
  <c r="F323" i="1"/>
  <c r="E323" i="1"/>
  <c r="E321" i="1" s="1"/>
  <c r="H322" i="1"/>
  <c r="F322" i="1"/>
  <c r="F321" i="1" s="1"/>
  <c r="E322" i="1"/>
  <c r="H321" i="1"/>
  <c r="H331" i="1" s="1"/>
  <c r="E299" i="1"/>
  <c r="I298" i="1"/>
  <c r="G298" i="1"/>
  <c r="H298" i="1" s="1"/>
  <c r="F298" i="1"/>
  <c r="I297" i="1"/>
  <c r="G297" i="1"/>
  <c r="H297" i="1" s="1"/>
  <c r="F297" i="1"/>
  <c r="I296" i="1"/>
  <c r="G296" i="1"/>
  <c r="F296" i="1"/>
  <c r="F294" i="1" s="1"/>
  <c r="I295" i="1"/>
  <c r="G295" i="1"/>
  <c r="G294" i="1" s="1"/>
  <c r="H294" i="1" s="1"/>
  <c r="F295" i="1"/>
  <c r="I294" i="1"/>
  <c r="I293" i="1"/>
  <c r="G293" i="1"/>
  <c r="H293" i="1" s="1"/>
  <c r="F293" i="1"/>
  <c r="I292" i="1"/>
  <c r="G292" i="1"/>
  <c r="H292" i="1" s="1"/>
  <c r="F292" i="1"/>
  <c r="I291" i="1"/>
  <c r="G291" i="1"/>
  <c r="G288" i="1" s="1"/>
  <c r="G299" i="1" s="1"/>
  <c r="F291" i="1"/>
  <c r="F288" i="1" s="1"/>
  <c r="F299" i="1" s="1"/>
  <c r="I290" i="1"/>
  <c r="G290" i="1"/>
  <c r="H290" i="1" s="1"/>
  <c r="F290" i="1"/>
  <c r="I289" i="1"/>
  <c r="G289" i="1"/>
  <c r="H289" i="1" s="1"/>
  <c r="F289" i="1"/>
  <c r="I288" i="1"/>
  <c r="I299" i="1" s="1"/>
  <c r="E288" i="1"/>
  <c r="D288" i="1"/>
  <c r="D299" i="1" s="1"/>
  <c r="H280" i="1"/>
  <c r="F280" i="1"/>
  <c r="D262" i="1"/>
  <c r="H261" i="1"/>
  <c r="F261" i="1"/>
  <c r="E261" i="1"/>
  <c r="H260" i="1"/>
  <c r="F260" i="1"/>
  <c r="G260" i="1" s="1"/>
  <c r="E260" i="1"/>
  <c r="H259" i="1"/>
  <c r="F259" i="1"/>
  <c r="G259" i="1" s="1"/>
  <c r="E259" i="1"/>
  <c r="H258" i="1"/>
  <c r="H262" i="1" s="1"/>
  <c r="F258" i="1"/>
  <c r="G258" i="1" s="1"/>
  <c r="E258" i="1"/>
  <c r="E262" i="1" s="1"/>
  <c r="D251" i="1"/>
  <c r="H207" i="1"/>
  <c r="E207" i="1"/>
  <c r="D207" i="1"/>
  <c r="G206" i="1"/>
  <c r="H205" i="1"/>
  <c r="F205" i="1"/>
  <c r="G205" i="1" s="1"/>
  <c r="E205" i="1"/>
  <c r="H204" i="1"/>
  <c r="G204" i="1"/>
  <c r="F204" i="1"/>
  <c r="F207" i="1" s="1"/>
  <c r="G207" i="1" s="1"/>
  <c r="E204" i="1"/>
  <c r="D184" i="1"/>
  <c r="H182" i="1"/>
  <c r="G182" i="1"/>
  <c r="F182" i="1"/>
  <c r="E182" i="1"/>
  <c r="H181" i="1"/>
  <c r="F181" i="1"/>
  <c r="E181" i="1"/>
  <c r="H180" i="1"/>
  <c r="F180" i="1"/>
  <c r="F178" i="1" s="1"/>
  <c r="G178" i="1" s="1"/>
  <c r="E180" i="1"/>
  <c r="H179" i="1"/>
  <c r="F179" i="1"/>
  <c r="E179" i="1"/>
  <c r="H178" i="1"/>
  <c r="E178" i="1"/>
  <c r="E184" i="1" s="1"/>
  <c r="H177" i="1"/>
  <c r="G177" i="1"/>
  <c r="F177" i="1"/>
  <c r="E177" i="1"/>
  <c r="H176" i="1"/>
  <c r="F176" i="1"/>
  <c r="G175" i="1" s="1"/>
  <c r="E176" i="1"/>
  <c r="H175" i="1"/>
  <c r="H184" i="1" s="1"/>
  <c r="F175" i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I139" i="1" s="1"/>
  <c r="I133" i="1" s="1"/>
  <c r="H140" i="1"/>
  <c r="G140" i="1"/>
  <c r="F140" i="1"/>
  <c r="F139" i="1" s="1"/>
  <c r="G139" i="1"/>
  <c r="E139" i="1"/>
  <c r="I138" i="1"/>
  <c r="F138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F134" i="1" s="1"/>
  <c r="F133" i="1" s="1"/>
  <c r="I134" i="1"/>
  <c r="E134" i="1"/>
  <c r="E133" i="1" s="1"/>
  <c r="E150" i="1" s="1"/>
  <c r="I132" i="1"/>
  <c r="F132" i="1"/>
  <c r="H131" i="1"/>
  <c r="I130" i="1"/>
  <c r="I128" i="1" s="1"/>
  <c r="I150" i="1" s="1"/>
  <c r="H130" i="1"/>
  <c r="G130" i="1"/>
  <c r="F130" i="1"/>
  <c r="I129" i="1"/>
  <c r="G129" i="1"/>
  <c r="G128" i="1" s="1"/>
  <c r="F129" i="1"/>
  <c r="F128" i="1"/>
  <c r="E128" i="1"/>
  <c r="C126" i="1"/>
  <c r="D107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H97" i="1"/>
  <c r="H96" i="1" s="1"/>
  <c r="G97" i="1"/>
  <c r="F97" i="1"/>
  <c r="F96" i="1" s="1"/>
  <c r="F95" i="1" s="1"/>
  <c r="I96" i="1"/>
  <c r="I95" i="1" s="1"/>
  <c r="G96" i="1"/>
  <c r="G95" i="1" s="1"/>
  <c r="E96" i="1"/>
  <c r="E95" i="1" s="1"/>
  <c r="E107" i="1" s="1"/>
  <c r="I94" i="1"/>
  <c r="I92" i="1" s="1"/>
  <c r="H94" i="1"/>
  <c r="G94" i="1"/>
  <c r="F94" i="1"/>
  <c r="I93" i="1"/>
  <c r="G93" i="1"/>
  <c r="G92" i="1" s="1"/>
  <c r="G107" i="1" s="1"/>
  <c r="F93" i="1"/>
  <c r="F92" i="1"/>
  <c r="C89" i="1"/>
  <c r="H85" i="1"/>
  <c r="F85" i="1"/>
  <c r="D85" i="1"/>
  <c r="G61" i="1"/>
  <c r="G60" i="1"/>
  <c r="H55" i="1"/>
  <c r="F55" i="1"/>
  <c r="G55" i="1" s="1"/>
  <c r="E55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I34" i="1" s="1"/>
  <c r="G35" i="1"/>
  <c r="G34" i="1" s="1"/>
  <c r="F35" i="1"/>
  <c r="F34" i="1" s="1"/>
  <c r="E34" i="1"/>
  <c r="I33" i="1"/>
  <c r="G33" i="1"/>
  <c r="H33" i="1" s="1"/>
  <c r="F33" i="1"/>
  <c r="I32" i="1"/>
  <c r="G32" i="1"/>
  <c r="H32" i="1" s="1"/>
  <c r="F32" i="1"/>
  <c r="I31" i="1"/>
  <c r="G31" i="1"/>
  <c r="G27" i="1" s="1"/>
  <c r="F31" i="1"/>
  <c r="I30" i="1"/>
  <c r="G30" i="1"/>
  <c r="H30" i="1" s="1"/>
  <c r="F30" i="1"/>
  <c r="I29" i="1"/>
  <c r="G29" i="1"/>
  <c r="H29" i="1" s="1"/>
  <c r="F29" i="1"/>
  <c r="I28" i="1"/>
  <c r="I27" i="1" s="1"/>
  <c r="G28" i="1"/>
  <c r="H28" i="1" s="1"/>
  <c r="F28" i="1"/>
  <c r="F27" i="1" s="1"/>
  <c r="E27" i="1"/>
  <c r="E26" i="1" s="1"/>
  <c r="I25" i="1"/>
  <c r="G25" i="1"/>
  <c r="G23" i="1" s="1"/>
  <c r="F25" i="1"/>
  <c r="I24" i="1"/>
  <c r="G24" i="1"/>
  <c r="H24" i="1" s="1"/>
  <c r="F24" i="1"/>
  <c r="F23" i="1" s="1"/>
  <c r="I23" i="1"/>
  <c r="E23" i="1"/>
  <c r="H16" i="1"/>
  <c r="F16" i="1"/>
  <c r="D16" i="1"/>
  <c r="H134" i="1" l="1"/>
  <c r="G134" i="1"/>
  <c r="G133" i="1" s="1"/>
  <c r="G150" i="1" s="1"/>
  <c r="H95" i="1"/>
  <c r="G321" i="1"/>
  <c r="G331" i="1" s="1"/>
  <c r="F331" i="1"/>
  <c r="E44" i="1"/>
  <c r="G26" i="1"/>
  <c r="G44" i="1" s="1"/>
  <c r="H34" i="1"/>
  <c r="I107" i="1"/>
  <c r="F184" i="1"/>
  <c r="G184" i="1" s="1"/>
  <c r="E331" i="1"/>
  <c r="I26" i="1"/>
  <c r="I44" i="1" s="1"/>
  <c r="H139" i="1"/>
  <c r="G262" i="1"/>
  <c r="F150" i="1"/>
  <c r="F26" i="1"/>
  <c r="F44" i="1" s="1"/>
  <c r="F107" i="1"/>
  <c r="H25" i="1"/>
  <c r="H23" i="1" s="1"/>
  <c r="H31" i="1"/>
  <c r="H27" i="1" s="1"/>
  <c r="H93" i="1"/>
  <c r="H92" i="1" s="1"/>
  <c r="H107" i="1" s="1"/>
  <c r="H129" i="1"/>
  <c r="H128" i="1" s="1"/>
  <c r="H291" i="1"/>
  <c r="H288" i="1" s="1"/>
  <c r="H299" i="1" s="1"/>
  <c r="H35" i="1"/>
  <c r="F262" i="1"/>
  <c r="H133" i="1" l="1"/>
  <c r="H150" i="1" s="1"/>
  <c r="H26" i="1"/>
  <c r="H44" i="1" s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<sst xmlns="http://schemas.openxmlformats.org/spreadsheetml/2006/main" count="328" uniqueCount="146">
  <si>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</si>
  <si>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</si>
  <si>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</si>
  <si>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</si>
  <si>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</si>
  <si>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</si>
  <si>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</si>
  <si>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</si>
  <si>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</si>
  <si>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</si>
  <si>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</si>
  <si>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</si>
  <si>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</si>
  <si>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</si>
  <si>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</si>
  <si>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</si>
  <si>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</si>
  <si>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</si>
  <si>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</si>
  <si>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</si>
  <si>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</si>
  <si>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</si>
  <si>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</si>
  <si>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</si>
  <si>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</si>
  <si>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</si>
  <si>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</si>
  <si>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</si>
  <si>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</si>
  <si>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</si>
  <si>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</si>
  <si>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</si>
  <si>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</si>
  <si>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</si>
  <si>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</si>
  <si>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</si>
  <si>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</si>
  <si>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</si>
  <si>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</si>
  <si>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</si>
  <si>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</si>
  <si>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</si>
  <si>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</si>
  <si>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</si>
  <si>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</si>
  <si>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</si>
  <si>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</si>
  <si>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</si>
  <si>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</si>
  <si>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</si>
  <si>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</si>
  <si>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</si>
  <si>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</si>
  <si>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</si>
  <si>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</si>
  <si>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</si>
  <si>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</si>
  <si>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</si>
  <si>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</si>
  <si>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</si>
  <si>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</si>
  <si>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</si>
  <si>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</si>
  <si>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</si>
  <si>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</si>
  <si>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</si>
  <si>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</si>
  <si>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</si>
  <si>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</si>
  <si>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</si>
  <si>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</si>
  <si>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</si>
  <si>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</si>
  <si>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</si>
  <si>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</si>
  <si>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</si>
  <si>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</si>
  <si>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</si>
  <si>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</si>
  <si>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</si>
  <si>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</si>
  <si>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</si>
  <si>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</si>
  <si>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</si>
  <si>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</si>
  <si>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</si>
  <si>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</si>
  <si>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</si>
  <si>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</si>
  <si>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</si>
  <si>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</si>
  <si>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</si>
  <si>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</si>
  <si>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</si>
  <si>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</si>
  <si>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</si>
  <si>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</si>
  <si>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</si>
  <si>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</si>
  <si>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</si>
  <si>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</si>
  <si>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</si>
  <si>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</si>
  <si>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</si>
  <si>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</si>
  <si>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</si>
  <si>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</si>
  <si>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</si>
  <si>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</si>
  <si>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</si>
  <si>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</si>
  <si>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</si>
  <si>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</si>
  <si>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</si>
  <si>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</si>
  <si>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</si>
  <si>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</si>
  <si>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</si>
  <si>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</si>
  <si>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</si>
  <si>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</si>
  <si>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</si>
  <si>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</si>
  <si>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</si>
  <si>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</si>
  <si>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</si>
  <si>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</si>
  <si>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</si>
  <si>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</si>
  <si>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</si>
  <si>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</si>
  <si>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</si>
  <si>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</si>
  <si>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</si>
  <si>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</si>
  <si>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</si>
  <si>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</si>
  <si>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</si>
  <si>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6</t>
  </si>
  <si>
    <t>FANGST T.O.M UKE 6</t>
  </si>
  <si>
    <t>RESTKVOTER UKE 6</t>
  </si>
  <si>
    <t>FANGST T.O.M UKE 6 2022</t>
  </si>
  <si>
    <r>
      <t xml:space="preserve">3 </t>
    </r>
    <r>
      <rPr>
        <sz val="9"/>
        <color indexed="8"/>
        <rFont val="Calibri"/>
        <family val="2"/>
      </rPr>
      <t>Registrert rekreasjonsfiske utgjør 47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</si>
  <si>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4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</si>
  <si>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29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</si>
  <si>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216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</si>
</sst>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137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84053</v>
      </c>
      <c r="F23" s="28">
        <f t="shared" si="0"/>
        <v>3140.2262999999998</v>
      </c>
      <c r="G23" s="28">
        <f t="shared" si="0"/>
        <v>11762.687300000001</v>
      </c>
      <c r="H23" s="11">
        <f t="shared" si="0"/>
        <v>72290.312699999995</v>
      </c>
      <c r="I23" s="11">
        <f t="shared" si="0"/>
        <v>17358.027980000003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83271</v>
      </c>
      <c r="F24" s="23">
        <f>3140.2263</f>
        <v>3140.2262999999998</v>
      </c>
      <c r="G24" s="23">
        <f>11715.8183</f>
        <v>11715.818300000001</v>
      </c>
      <c r="H24" s="23">
        <f>E24-G24</f>
        <v>71555.181700000001</v>
      </c>
      <c r="I24" s="23">
        <f>17318.3817</f>
        <v>17318.381700000002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46.869</f>
        <v>46.869</v>
      </c>
      <c r="H25" s="23">
        <f>E25-G25</f>
        <v>735.13099999999997</v>
      </c>
      <c r="I25" s="23">
        <f>39.64628</f>
        <v>39.646279999999997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191675</v>
      </c>
      <c r="F26" s="28">
        <f t="shared" si="1"/>
        <v>2142.8903</v>
      </c>
      <c r="G26" s="11">
        <f t="shared" si="1"/>
        <v>18578.802599999999</v>
      </c>
      <c r="H26" s="11">
        <f t="shared" si="1"/>
        <v>173096.19739999998</v>
      </c>
      <c r="I26" s="11">
        <f t="shared" si="1"/>
        <v>32769.848429999998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148041</v>
      </c>
      <c r="F27" s="134">
        <f>F28+F29+F30+F31+F32</f>
        <v>1417.1962599999997</v>
      </c>
      <c r="G27" s="134">
        <f t="shared" si="2"/>
        <v>11701.20968</v>
      </c>
      <c r="H27" s="134">
        <f t="shared" si="2"/>
        <v>136339.79031999997</v>
      </c>
      <c r="I27" s="134">
        <f t="shared" si="2"/>
        <v>25513.18678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38361</v>
      </c>
      <c r="F28" s="205">
        <f>158.81346</f>
        <v>158.81345999999999</v>
      </c>
      <c r="G28" s="129">
        <f>2813.02375 - F57</f>
        <v>2813.0237499999998</v>
      </c>
      <c r="H28" s="129">
        <f t="shared" ref="H28:H40" si="3">E28-G28</f>
        <v>35547.97625</v>
      </c>
      <c r="I28" s="129">
        <f>5374.50297 - H57</f>
        <v>5374.5029699999996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39519</v>
      </c>
      <c r="F29" s="129">
        <f>526.71668</f>
        <v>526.71668</v>
      </c>
      <c r="G29" s="129">
        <f>4580.46655 - F58</f>
        <v>4580.4665500000001</v>
      </c>
      <c r="H29" s="129">
        <f t="shared" si="3"/>
        <v>34938.533450000003</v>
      </c>
      <c r="I29" s="129">
        <f>9248.93098 - H58</f>
        <v>9248.9309799999992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36008</v>
      </c>
      <c r="F30" s="129">
        <f>407.21398</f>
        <v>407.21397999999999</v>
      </c>
      <c r="G30" s="129">
        <f>2388.78343 - F59</f>
        <v>2388.78343</v>
      </c>
      <c r="H30" s="129">
        <f t="shared" si="3"/>
        <v>33619.216569999997</v>
      </c>
      <c r="I30" s="129">
        <f>6214.10036 - H59</f>
        <v>6214.1003600000004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24489</v>
      </c>
      <c r="F31" s="129">
        <f>324.45214</f>
        <v>324.45213999999999</v>
      </c>
      <c r="G31" s="129">
        <f>1918.93595 - F60</f>
        <v>1918.93595</v>
      </c>
      <c r="H31" s="129">
        <f t="shared" si="3"/>
        <v>22570.064050000001</v>
      </c>
      <c r="I31" s="129">
        <f>4675.65247 - H60</f>
        <v>4675.65247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22831</v>
      </c>
      <c r="F33" s="134">
        <f>638.64416</f>
        <v>638.64416000000006</v>
      </c>
      <c r="G33" s="134">
        <f>5647.98837</f>
        <v>5647.98837</v>
      </c>
      <c r="H33" s="134">
        <f t="shared" si="3"/>
        <v>17183.011630000001</v>
      </c>
      <c r="I33" s="134">
        <f>6143.24663</f>
        <v>6143.2466299999996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20803</v>
      </c>
      <c r="F34" s="134">
        <f>F35+F36</f>
        <v>87.049880000000002</v>
      </c>
      <c r="G34" s="134">
        <f>G35+G36</f>
        <v>1229.60455</v>
      </c>
      <c r="H34" s="134">
        <f t="shared" si="3"/>
        <v>19573.39545</v>
      </c>
      <c r="I34" s="134">
        <f>I35+I36</f>
        <v>1113.4150199999999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19603</v>
      </c>
      <c r="F35" s="129">
        <f>87.04988</f>
        <v>87.049880000000002</v>
      </c>
      <c r="G35" s="134">
        <f>1229.60455 - F61 - F62</f>
        <v>1229.60455</v>
      </c>
      <c r="H35" s="129">
        <f t="shared" si="3"/>
        <v>18373.39545</v>
      </c>
      <c r="I35" s="129">
        <f>1113.41502 - H61 - H62</f>
        <v>1113.4150199999999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0</f>
        <v>0</v>
      </c>
      <c r="H37" s="141">
        <f t="shared" si="3"/>
        <v>3000</v>
      </c>
      <c r="I37" s="141">
        <f>0</f>
        <v>0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2.1</f>
        <v>2.1</v>
      </c>
      <c r="G38" s="100">
        <f>16.98783</f>
        <v>16.987829999999999</v>
      </c>
      <c r="H38" s="100">
        <f t="shared" si="3"/>
        <v>834.01216999999997</v>
      </c>
      <c r="I38" s="100">
        <f>33.0132</f>
        <v>33.013199999999998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0</v>
      </c>
      <c r="G39" s="100">
        <f>F61</f>
        <v>0</v>
      </c>
      <c r="H39" s="100">
        <f t="shared" si="3"/>
        <v>3048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5.20742</f>
        <v>5.2074199999999999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290027</v>
      </c>
      <c r="F44" s="78">
        <f t="shared" si="4"/>
        <v>5290.4270199999992</v>
      </c>
      <c r="G44" s="78">
        <f t="shared" si="4"/>
        <v>37438.038730000029</v>
      </c>
      <c r="H44" s="78">
        <f t="shared" si="4"/>
        <v>252588.96126999994</v>
      </c>
      <c r="I44" s="78">
        <f t="shared" si="4"/>
        <v>57281.828039999979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142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0</v>
      </c>
      <c r="F55" s="11">
        <f>F59+F58+F57+F56</f>
        <v>0</v>
      </c>
      <c r="G55" s="299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/>
      <c r="F56" s="129"/>
      <c r="G56" s="300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/>
      <c r="F57" s="129"/>
      <c r="G57" s="300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/>
      <c r="F58" s="129"/>
      <c r="G58" s="300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/>
      <c r="F59" s="194"/>
      <c r="G59" s="301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/>
      <c r="F61" s="141"/>
      <c r="G61" s="141">
        <f>D61-F61</f>
        <v>3000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33472</v>
      </c>
      <c r="E92" s="28">
        <v>36235</v>
      </c>
      <c r="F92" s="11">
        <f t="shared" ref="F92:I92" si="5">F94+F93</f>
        <v>529.32921999999996</v>
      </c>
      <c r="G92" s="11">
        <f t="shared" si="5"/>
        <v>1558.9721199999999</v>
      </c>
      <c r="H92" s="11">
        <f t="shared" si="5"/>
        <v>34676.027880000001</v>
      </c>
      <c r="I92" s="11">
        <f t="shared" si="5"/>
        <v>2733.7197500000002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32722</v>
      </c>
      <c r="E93" s="48">
        <v>35423</v>
      </c>
      <c r="F93" s="23">
        <f>529.32922</f>
        <v>529.32921999999996</v>
      </c>
      <c r="G93" s="23">
        <f>1543.53712</f>
        <v>1543.53712</v>
      </c>
      <c r="H93" s="23">
        <f>E93-G93</f>
        <v>33879.462879999999</v>
      </c>
      <c r="I93" s="23">
        <f>2712.5549</f>
        <v>2712.5549000000001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15.435</f>
        <v>15.435</v>
      </c>
      <c r="H94" s="52">
        <f>E94-G94</f>
        <v>796.56500000000005</v>
      </c>
      <c r="I94" s="52">
        <f>21.16485</f>
        <v>21.164850000000001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56489</v>
      </c>
      <c r="E95" s="28">
        <f t="shared" ref="E95:I95" si="6">E96+E101+E102</f>
        <v>62139</v>
      </c>
      <c r="F95" s="11">
        <f t="shared" si="6"/>
        <v>512.51961999999992</v>
      </c>
      <c r="G95" s="11">
        <f t="shared" si="6"/>
        <v>4384.4556899999998</v>
      </c>
      <c r="H95" s="11">
        <f t="shared" si="6"/>
        <v>57754.544310000005</v>
      </c>
      <c r="I95" s="11">
        <f t="shared" si="6"/>
        <v>5481.2757199999987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42290</v>
      </c>
      <c r="E96" s="60">
        <f t="shared" ref="E96:I96" si="7">E97+E98+E99+E100</f>
        <v>46520</v>
      </c>
      <c r="F96" s="134">
        <f t="shared" si="7"/>
        <v>144.38239999999999</v>
      </c>
      <c r="G96" s="134">
        <f t="shared" si="7"/>
        <v>2248.9942900000001</v>
      </c>
      <c r="H96" s="134">
        <f t="shared" si="7"/>
        <v>44271.005710000005</v>
      </c>
      <c r="I96" s="134">
        <f t="shared" si="7"/>
        <v>3168.7825999999995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11327</v>
      </c>
      <c r="E97" s="65">
        <v>12460</v>
      </c>
      <c r="F97" s="129">
        <f>15.06986</f>
        <v>15.06986</v>
      </c>
      <c r="G97" s="129">
        <f>714.58558</f>
        <v>714.58558000000005</v>
      </c>
      <c r="H97" s="129">
        <f t="shared" ref="H97:H104" si="8">E97-G97</f>
        <v>11745.414419999999</v>
      </c>
      <c r="I97" s="129">
        <f>781.0699</f>
        <v>781.06989999999996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12171</v>
      </c>
      <c r="E98" s="65">
        <v>13388</v>
      </c>
      <c r="F98" s="129">
        <f>96.93839</f>
        <v>96.938389999999998</v>
      </c>
      <c r="G98" s="129">
        <f>932.69489</f>
        <v>932.69488999999999</v>
      </c>
      <c r="H98" s="129">
        <f t="shared" si="8"/>
        <v>12455.305109999999</v>
      </c>
      <c r="I98" s="129">
        <f>1250.91633</f>
        <v>1250.91633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11356</v>
      </c>
      <c r="E99" s="65">
        <v>12492</v>
      </c>
      <c r="F99" s="129">
        <f>6.05979</f>
        <v>6.0597899999999996</v>
      </c>
      <c r="G99" s="129">
        <f>396.42151</f>
        <v>396.42151000000001</v>
      </c>
      <c r="H99" s="129">
        <f t="shared" si="8"/>
        <v>12095.57849</v>
      </c>
      <c r="I99" s="129">
        <f>790.69613</f>
        <v>790.69613000000004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7436</v>
      </c>
      <c r="E100" s="65">
        <v>8180</v>
      </c>
      <c r="F100" s="129">
        <f>26.31436</f>
        <v>26.314360000000001</v>
      </c>
      <c r="G100" s="129">
        <f>205.29231</f>
        <v>205.29230999999999</v>
      </c>
      <c r="H100" s="129">
        <f t="shared" si="8"/>
        <v>7974.7076900000002</v>
      </c>
      <c r="I100" s="129">
        <f>346.10024</f>
        <v>346.10023999999999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9830</v>
      </c>
      <c r="E101" s="60">
        <v>10813</v>
      </c>
      <c r="F101" s="134">
        <f>353.09186</f>
        <v>353.09186</v>
      </c>
      <c r="G101" s="134">
        <f>1773.1095</f>
        <v>1773.1095</v>
      </c>
      <c r="H101" s="134">
        <f t="shared" si="8"/>
        <v>9039.8904999999995</v>
      </c>
      <c r="I101" s="134">
        <f>2106.2026</f>
        <v>2106.2026000000001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4369</v>
      </c>
      <c r="E102" s="63">
        <v>4806</v>
      </c>
      <c r="F102" s="77">
        <f>15.04536</f>
        <v>15.045360000000001</v>
      </c>
      <c r="G102" s="77">
        <f>362.3519</f>
        <v>362.3519</v>
      </c>
      <c r="H102" s="77">
        <f t="shared" si="8"/>
        <v>4443.6481000000003</v>
      </c>
      <c r="I102" s="77">
        <f>206.29052</f>
        <v>206.29051999999999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390</v>
      </c>
      <c r="E103" s="92">
        <v>390</v>
      </c>
      <c r="F103" s="100">
        <f>0</f>
        <v>0</v>
      </c>
      <c r="G103" s="100">
        <f>0.26031</f>
        <v>0.26030999999999999</v>
      </c>
      <c r="H103" s="100">
        <f t="shared" si="8"/>
        <v>389.73969</v>
      </c>
      <c r="I103" s="100">
        <f>6.4064</f>
        <v>6.4063999999999997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0.93261</f>
        <v>0.93261000000000005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90701</v>
      </c>
      <c r="E107" s="78">
        <f t="shared" ref="E107:I107" si="9">E92+E95+E103+E104+E105+E106</f>
        <v>99114</v>
      </c>
      <c r="F107" s="78">
        <f t="shared" si="9"/>
        <v>1042.7814499999999</v>
      </c>
      <c r="G107" s="78">
        <f t="shared" si="9"/>
        <v>6252.4559199999858</v>
      </c>
      <c r="H107" s="78">
        <f t="shared" si="9"/>
        <v>92861.544080000021</v>
      </c>
      <c r="I107" s="78">
        <f t="shared" si="9"/>
        <v>8565.1366499999967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143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2021.33773</v>
      </c>
      <c r="G128" s="11">
        <f t="shared" si="10"/>
        <v>12728.869570000001</v>
      </c>
      <c r="H128" s="11">
        <f t="shared" si="10"/>
        <v>57812.130429999997</v>
      </c>
      <c r="I128" s="11">
        <f t="shared" si="10"/>
        <v>9093.556849999999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2021.33773</f>
        <v>2021.33773</v>
      </c>
      <c r="G129" s="23">
        <f>11914.73992</f>
        <v>11914.73992</v>
      </c>
      <c r="H129" s="23">
        <f>E129-G129</f>
        <v>44177.26008</v>
      </c>
      <c r="I129" s="23">
        <f>7883.40576</f>
        <v>7883.4057599999996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814.12965</f>
        <v>814.12964999999997</v>
      </c>
      <c r="H130" s="23">
        <f>E130-G130</f>
        <v>13134.870349999999</v>
      </c>
      <c r="I130" s="23">
        <f>1210.15109</f>
        <v>1210.1510900000001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0</f>
        <v>0</v>
      </c>
      <c r="G132" s="97">
        <f>7.95395+215.69608</f>
        <v>223.65002999999999</v>
      </c>
      <c r="H132" s="97">
        <f>E132-G132</f>
        <v>48948.349970000003</v>
      </c>
      <c r="I132" s="97">
        <f>12.942</f>
        <v>12.942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794.26121999999998</v>
      </c>
      <c r="G133" s="96">
        <f t="shared" ref="G133" si="11">G134+G139+G142</f>
        <v>16511.345130000002</v>
      </c>
      <c r="H133" s="96">
        <f>H134+H139+H142</f>
        <v>64428.654870000006</v>
      </c>
      <c r="I133" s="96">
        <f>I134+I139+I142</f>
        <v>11331.809290000003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748.56259999999997</v>
      </c>
      <c r="G134" s="127">
        <f>G135+G136+G138+G137</f>
        <v>15294.443510000001</v>
      </c>
      <c r="H134" s="127">
        <f>H135+H136+H137+H138</f>
        <v>44209.556490000003</v>
      </c>
      <c r="I134" s="127">
        <f>I135+I136+I137+I138</f>
        <v>10714.055790000002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108.12876</f>
        <v>108.12876</v>
      </c>
      <c r="G135" s="129">
        <f>2775.81942</f>
        <v>2775.8194199999998</v>
      </c>
      <c r="H135" s="129">
        <f>E135-G135</f>
        <v>14728.18058</v>
      </c>
      <c r="I135" s="129">
        <f>1724.24964</f>
        <v>1724.24964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283.20686</f>
        <v>283.20686000000001</v>
      </c>
      <c r="G136" s="129">
        <f>4458.78691</f>
        <v>4458.7869099999998</v>
      </c>
      <c r="H136" s="129">
        <f>E136-G136</f>
        <v>10625.213090000001</v>
      </c>
      <c r="I136" s="129">
        <f>3510.11376</f>
        <v>3510.1137600000002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135.26534</f>
        <v>135.26534000000001</v>
      </c>
      <c r="G137" s="129">
        <f>3599.67637</f>
        <v>3599.6763700000001</v>
      </c>
      <c r="H137" s="129">
        <f>E137-G137</f>
        <v>11423.323629999999</v>
      </c>
      <c r="I137" s="129">
        <f>3079.69905</f>
        <v>3079.6990500000002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221.96164</f>
        <v>221.96163999999999</v>
      </c>
      <c r="G138" s="129">
        <v>4460.1608100000003</v>
      </c>
      <c r="H138" s="129">
        <f>E138-G138</f>
        <v>7432.8391899999997</v>
      </c>
      <c r="I138" s="129">
        <f>2399.99334</f>
        <v>2399.99334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7.7534999999999989</v>
      </c>
      <c r="G139" s="134">
        <f>SUM(G140:G141)</f>
        <v>425.61457000000001</v>
      </c>
      <c r="H139" s="134">
        <f>H140+H141</f>
        <v>9006.3854300000003</v>
      </c>
      <c r="I139" s="134">
        <f>SUM(I140:I141)</f>
        <v>37.245750000000001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2.7072</f>
        <v>2.7071999999999998</v>
      </c>
      <c r="G140" s="129">
        <f>411.17188</f>
        <v>411.17187999999999</v>
      </c>
      <c r="H140" s="129">
        <f t="shared" ref="H140:H147" si="12">E140-G140</f>
        <v>8520.8281200000001</v>
      </c>
      <c r="I140" s="129">
        <f>18.63945</f>
        <v>18.63945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5.0463</f>
        <v>5.0462999999999996</v>
      </c>
      <c r="G141" s="129">
        <f>14.44269</f>
        <v>14.442690000000001</v>
      </c>
      <c r="H141" s="129">
        <f t="shared" si="12"/>
        <v>485.55730999999997</v>
      </c>
      <c r="I141" s="129">
        <f>18.6063</f>
        <v>18.606300000000001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37.94512</f>
        <v>37.945120000000003</v>
      </c>
      <c r="G142" s="77">
        <f>791.28705</f>
        <v>791.28705000000002</v>
      </c>
      <c r="H142" s="77">
        <f t="shared" si="12"/>
        <v>11212.712949999999</v>
      </c>
      <c r="I142" s="77">
        <f>580.50775</f>
        <v>580.50774999999999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0.99293</f>
        <v>0.99292999999999998</v>
      </c>
      <c r="H143" s="141">
        <f t="shared" si="12"/>
        <v>136.00707</v>
      </c>
      <c r="I143" s="141">
        <f>1.46754</f>
        <v>1.4675400000000001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3.61743</f>
        <v>3.6174300000000001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2819.2163799999998</v>
      </c>
      <c r="G150" s="78">
        <f>G128+G132+G133+G143+G144+G145+G146+G147+G148</f>
        <v>31464.857660000001</v>
      </c>
      <c r="H150" s="78">
        <f>H128+H132+H133+H143+H144+H145+H146+H147+H148</f>
        <v>171770.14233999999</v>
      </c>
      <c r="I150" s="78">
        <f>I128+I132+I133+I143+I144+I145+I146+I147+I148</f>
        <v>22439.775680000002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145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144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17.86168</f>
        <v>17.86168</v>
      </c>
      <c r="F175" s="274">
        <f>197.28234</f>
        <v>197.28234</v>
      </c>
      <c r="G175" s="45">
        <f>D175-F175-F176</f>
        <v>4668.7939100000003</v>
      </c>
      <c r="H175" s="274">
        <f>120.3277</f>
        <v>120.32769999999999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121.92375</f>
        <v>121.92375</v>
      </c>
      <c r="G176" s="215"/>
      <c r="H176" s="154">
        <f>148.04101</f>
        <v>148.04101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0.00224</f>
        <v>2.2399999999999998E-3</v>
      </c>
      <c r="F177" s="174">
        <f>15.06608</f>
        <v>15.066079999999999</v>
      </c>
      <c r="G177" s="174">
        <f>D177-F177</f>
        <v>184.93392</v>
      </c>
      <c r="H177" s="174">
        <f>0.15312</f>
        <v>0.15312000000000001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4.2459999999999998E-2</v>
      </c>
      <c r="F178" s="183">
        <f>F179+F180+F181</f>
        <v>1.8207800000000001</v>
      </c>
      <c r="G178" s="183">
        <f>D178-F178</f>
        <v>7479.17922</v>
      </c>
      <c r="H178" s="183">
        <f>H179+H180+H181</f>
        <v>5.60358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0.0371</f>
        <v>3.7100000000000001E-2</v>
      </c>
      <c r="F179" s="129">
        <f>0.22572</f>
        <v>0.22572</v>
      </c>
      <c r="G179" s="129"/>
      <c r="H179" s="129">
        <f>0.22316</f>
        <v>0.22316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0.00536</f>
        <v>5.3600000000000002E-3</v>
      </c>
      <c r="F180" s="129">
        <f>1.00342</f>
        <v>1.00342</v>
      </c>
      <c r="G180" s="129"/>
      <c r="H180" s="129">
        <f>4.33387</f>
        <v>4.3338700000000001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0.59164</f>
        <v>0.59164000000000005</v>
      </c>
      <c r="G181" s="194"/>
      <c r="H181" s="194">
        <f>1.04655</f>
        <v>1.0465500000000001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17.906379999999999</v>
      </c>
      <c r="F184" s="196">
        <f>F175+F176+F177+F178+F182+F183</f>
        <v>336.09295000000003</v>
      </c>
      <c r="G184" s="196">
        <f>D184-F184</f>
        <v>12398.90705</v>
      </c>
      <c r="H184" s="196">
        <f>H175+H176+H177+H178+H182+H183</f>
        <v>274.12540999999999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699.36052</f>
        <v>699.36051999999995</v>
      </c>
      <c r="F204" s="124">
        <f>4425.45525</f>
        <v>4425.45525</v>
      </c>
      <c r="G204" s="124">
        <f>D204-F204</f>
        <v>39413.544750000001</v>
      </c>
      <c r="H204" s="124">
        <f>1234.7869</f>
        <v>1234.7869000000001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0.002</f>
        <v>2E-3</v>
      </c>
      <c r="F205" s="124">
        <f>0.0075</f>
        <v>7.4999999999999997E-3</v>
      </c>
      <c r="G205" s="124">
        <f>D205-F205</f>
        <v>99.992500000000007</v>
      </c>
      <c r="H205" s="124">
        <f>0.0813</f>
        <v>8.1299999999999997E-2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699.3625199999999</v>
      </c>
      <c r="F207" s="190">
        <f>SUM(F204:F206)</f>
        <v>4425.4627499999997</v>
      </c>
      <c r="G207" s="190">
        <f>D207-F207</f>
        <v>39555.537250000001</v>
      </c>
      <c r="H207" s="190">
        <f>SUM(H204:H206)</f>
        <v>1234.8682000000001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16.69963</f>
        <v>16.699629999999999</v>
      </c>
      <c r="F258" s="124">
        <f>45.74615</f>
        <v>45.74615</v>
      </c>
      <c r="G258" s="124">
        <f>D258-F258</f>
        <v>754.25385000000006</v>
      </c>
      <c r="H258" s="124">
        <f>24.51403</f>
        <v>24.514030000000002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10.16208</f>
        <v>10.16208</v>
      </c>
      <c r="F259" s="124">
        <f>239.41882</f>
        <v>239.41882000000001</v>
      </c>
      <c r="G259" s="124">
        <f>D259-F259</f>
        <v>2254.5811800000001</v>
      </c>
      <c r="H259" s="124">
        <f>98.14605</f>
        <v>98.146050000000002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0.03304</f>
        <v>3.304E-2</v>
      </c>
      <c r="F260" s="168">
        <f>0.03304</f>
        <v>3.304E-2</v>
      </c>
      <c r="G260" s="124">
        <f>D260-F260</f>
        <v>4.9669600000000003</v>
      </c>
      <c r="H260" s="168">
        <f>0.243</f>
        <v>0.24299999999999999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</f>
        <v>0</v>
      </c>
      <c r="G261" s="124"/>
      <c r="H261" s="168">
        <f>0.02</f>
        <v>0.02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26.894749999999998</v>
      </c>
      <c r="F262" s="190">
        <f>SUM(F258:F261)</f>
        <v>285.19801000000007</v>
      </c>
      <c r="G262" s="190">
        <f>D262-F262</f>
        <v>3013.8019899999999</v>
      </c>
      <c r="H262" s="190">
        <f>H258+H259+H260+H261</f>
        <v>122.92308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889.05045999999993</v>
      </c>
      <c r="G288" s="251">
        <f t="shared" si="14"/>
        <v>1133.8816099999999</v>
      </c>
      <c r="H288" s="251">
        <f>H292+H291+H290+H289</f>
        <v>14968.11839</v>
      </c>
      <c r="I288" s="251">
        <f t="shared" si="14"/>
        <v>222.63693999999998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884.0745</f>
        <v>884.07449999999994</v>
      </c>
      <c r="G289" s="255">
        <f>884.0745</f>
        <v>884.07449999999994</v>
      </c>
      <c r="H289" s="255">
        <f t="shared" ref="H289:H293" si="15">E289-G289</f>
        <v>7292.9255000000003</v>
      </c>
      <c r="I289" s="255">
        <f>112.0851</f>
        <v>112.0851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0</f>
        <v>0</v>
      </c>
      <c r="H290" s="255">
        <f t="shared" si="15"/>
        <v>2128</v>
      </c>
      <c r="I290" s="255">
        <f>0</f>
        <v>0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4.97596</f>
        <v>4.9759599999999997</v>
      </c>
      <c r="G291" s="255">
        <f>231.55131</f>
        <v>231.55131</v>
      </c>
      <c r="H291" s="255">
        <f t="shared" si="15"/>
        <v>1125.4486899999999</v>
      </c>
      <c r="I291" s="255">
        <f>108.03104</f>
        <v>108.03104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0</f>
        <v>0</v>
      </c>
      <c r="G292" s="255">
        <f>18.2558</f>
        <v>18.255800000000001</v>
      </c>
      <c r="H292" s="255">
        <f t="shared" si="15"/>
        <v>4421.7442000000001</v>
      </c>
      <c r="I292" s="255">
        <f>2.5208</f>
        <v>2.5207999999999999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</f>
        <v>0</v>
      </c>
      <c r="G293" s="266">
        <f>17.834</f>
        <v>17.834</v>
      </c>
      <c r="H293" s="266">
        <f t="shared" si="15"/>
        <v>5482.1660000000002</v>
      </c>
      <c r="I293" s="266">
        <f>107.38102</f>
        <v>107.38102000000001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183.12454</v>
      </c>
      <c r="G294" s="267">
        <f>G296+G295</f>
        <v>420.60786000000002</v>
      </c>
      <c r="H294" s="267">
        <f>E294-G294</f>
        <v>7579.3921399999999</v>
      </c>
      <c r="I294" s="267">
        <f>I296+I295</f>
        <v>469.47057999999998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0</f>
        <v>0</v>
      </c>
      <c r="H295" s="255"/>
      <c r="I295" s="255">
        <f>0</f>
        <v>0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183.12454</f>
        <v>183.12454</v>
      </c>
      <c r="G296" s="276">
        <f>420.60786</f>
        <v>420.60786000000002</v>
      </c>
      <c r="H296" s="276"/>
      <c r="I296" s="276">
        <f>469.47058</f>
        <v>469.47057999999998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</f>
        <v>0</v>
      </c>
      <c r="H297" s="266">
        <f>E297-G297</f>
        <v>10</v>
      </c>
      <c r="I297" s="266">
        <f>0.0918</f>
        <v>9.1800000000000007E-2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0.04464</f>
        <v>4.4639999999999999E-2</v>
      </c>
      <c r="G298" s="266">
        <f>0.9496</f>
        <v>0.9496</v>
      </c>
      <c r="H298" s="266">
        <f>E298-G298</f>
        <v>-0.9496</v>
      </c>
      <c r="I298" s="266">
        <f>11.80253</f>
        <v>11.802530000000001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1072.21964</v>
      </c>
      <c r="G299" s="285">
        <f t="shared" si="16"/>
        <v>1573.27307</v>
      </c>
      <c r="H299" s="285">
        <f>H288+H293+H294+H297+H298</f>
        <v>28038.726930000001</v>
      </c>
      <c r="I299" s="285">
        <f t="shared" si="16"/>
        <v>811.38287000000014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115.83314</v>
      </c>
      <c r="F321" s="26">
        <f>F323+F322</f>
        <v>854.42155000000002</v>
      </c>
      <c r="G321" s="87">
        <f>D321-F321</f>
        <v>1386.57845</v>
      </c>
      <c r="H321" s="26">
        <f>SUM(H322:H323)</f>
        <v>521.61795000000006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95.69614</f>
        <v>95.69614</v>
      </c>
      <c r="F322" s="207">
        <f>729.82895</f>
        <v>729.82894999999996</v>
      </c>
      <c r="G322" s="208"/>
      <c r="H322" s="207">
        <f>443.16825</f>
        <v>443.16825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20.137</f>
        <v>20.137</v>
      </c>
      <c r="F323" s="210">
        <f>124.5926</f>
        <v>124.5926</v>
      </c>
      <c r="G323" s="211"/>
      <c r="H323" s="210">
        <f>78.4497</f>
        <v>78.449700000000007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115.83314</v>
      </c>
      <c r="F331" s="42">
        <f>F321+F324+F327+F330</f>
        <v>854.42155000000002</v>
      </c>
      <c r="G331" s="43">
        <f>SUM(G321:G330)</f>
        <v>2506.57845</v>
      </c>
      <c r="H331" s="42">
        <f>H321+H324+H327+H330</f>
        <v>521.61795000000006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6&amp;R15.02.2023</oddHeader>
    <oddFooter>&amp;L&amp;8Fiskeridirektoratet&amp;C&amp;8Seksjon fiskeriregulering&amp;R&amp;8Amund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2023-02-15T09:35:32Z</dcterms:modified>
</cp:coreProperties>
</file>