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6BFB5210-A833-4AF5-BE98-E093980A45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5" i="1"/>
  <c r="H125" i="1" s="1"/>
  <c r="G124" i="1"/>
  <c r="H124" i="1" s="1"/>
  <c r="G123" i="1"/>
  <c r="H123" i="1" s="1"/>
  <c r="G30" i="1"/>
  <c r="G31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I272" i="1"/>
  <c r="G272" i="1"/>
  <c r="H272" i="1" s="1"/>
  <c r="F272" i="1"/>
  <c r="I271" i="1"/>
  <c r="G271" i="1"/>
  <c r="H271" i="1" s="1"/>
  <c r="F271" i="1"/>
  <c r="I270" i="1"/>
  <c r="I268" i="1" s="1"/>
  <c r="G270" i="1"/>
  <c r="F270" i="1"/>
  <c r="F268" i="1" s="1"/>
  <c r="I269" i="1"/>
  <c r="G269" i="1"/>
  <c r="G268" i="1" s="1"/>
  <c r="H268" i="1" s="1"/>
  <c r="F269" i="1"/>
  <c r="I267" i="1"/>
  <c r="G267" i="1"/>
  <c r="H267" i="1" s="1"/>
  <c r="F267" i="1"/>
  <c r="I266" i="1"/>
  <c r="G266" i="1"/>
  <c r="H266" i="1" s="1"/>
  <c r="F266" i="1"/>
  <c r="I265" i="1"/>
  <c r="I262" i="1" s="1"/>
  <c r="I273" i="1" s="1"/>
  <c r="G265" i="1"/>
  <c r="G262" i="1" s="1"/>
  <c r="G273" i="1" s="1"/>
  <c r="F265" i="1"/>
  <c r="I264" i="1"/>
  <c r="G264" i="1"/>
  <c r="H264" i="1" s="1"/>
  <c r="F264" i="1"/>
  <c r="I263" i="1"/>
  <c r="G263" i="1"/>
  <c r="H263" i="1" s="1"/>
  <c r="F263" i="1"/>
  <c r="F262" i="1"/>
  <c r="F273" i="1" s="1"/>
  <c r="E262" i="1"/>
  <c r="E273" i="1" s="1"/>
  <c r="D262" i="1"/>
  <c r="D273" i="1" s="1"/>
  <c r="H254" i="1"/>
  <c r="F254" i="1"/>
  <c r="D251" i="1"/>
  <c r="D250" i="1"/>
  <c r="D241" i="1"/>
  <c r="G241" i="1" s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F241" i="1" s="1"/>
  <c r="E237" i="1"/>
  <c r="E241" i="1" s="1"/>
  <c r="D230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F215" i="1" s="1"/>
  <c r="E216" i="1"/>
  <c r="E215" i="1" s="1"/>
  <c r="E219" i="1" s="1"/>
  <c r="D206" i="1"/>
  <c r="H205" i="1"/>
  <c r="F205" i="1"/>
  <c r="G205" i="1" s="1"/>
  <c r="E205" i="1"/>
  <c r="H204" i="1"/>
  <c r="F204" i="1"/>
  <c r="E204" i="1"/>
  <c r="E202" i="1" s="1"/>
  <c r="E206" i="1" s="1"/>
  <c r="H203" i="1"/>
  <c r="F203" i="1"/>
  <c r="F202" i="1" s="1"/>
  <c r="E203" i="1"/>
  <c r="H202" i="1"/>
  <c r="H206" i="1" s="1"/>
  <c r="I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G192" i="1" s="1"/>
  <c r="F189" i="1"/>
  <c r="F192" i="1" s="1"/>
  <c r="D169" i="1"/>
  <c r="H168" i="1"/>
  <c r="G168" i="1"/>
  <c r="F168" i="1"/>
  <c r="E168" i="1"/>
  <c r="H167" i="1"/>
  <c r="G167" i="1"/>
  <c r="F167" i="1"/>
  <c r="E167" i="1"/>
  <c r="H166" i="1"/>
  <c r="F166" i="1"/>
  <c r="F163" i="1" s="1"/>
  <c r="G163" i="1" s="1"/>
  <c r="E166" i="1"/>
  <c r="H165" i="1"/>
  <c r="F165" i="1"/>
  <c r="E165" i="1"/>
  <c r="H164" i="1"/>
  <c r="F164" i="1"/>
  <c r="E164" i="1"/>
  <c r="E163" i="1" s="1"/>
  <c r="H163" i="1"/>
  <c r="H162" i="1"/>
  <c r="F162" i="1"/>
  <c r="G162" i="1" s="1"/>
  <c r="E162" i="1"/>
  <c r="H161" i="1"/>
  <c r="F161" i="1"/>
  <c r="E161" i="1"/>
  <c r="H160" i="1"/>
  <c r="H169" i="1" s="1"/>
  <c r="G160" i="1"/>
  <c r="F160" i="1"/>
  <c r="F169" i="1" s="1"/>
  <c r="E160" i="1"/>
  <c r="E169" i="1" s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G126" i="1" s="1"/>
  <c r="F128" i="1"/>
  <c r="I127" i="1"/>
  <c r="I126" i="1" s="1"/>
  <c r="G127" i="1"/>
  <c r="H127" i="1" s="1"/>
  <c r="F127" i="1"/>
  <c r="F126" i="1" s="1"/>
  <c r="E126" i="1"/>
  <c r="D126" i="1"/>
  <c r="I125" i="1"/>
  <c r="F125" i="1"/>
  <c r="I124" i="1"/>
  <c r="F124" i="1"/>
  <c r="I123" i="1"/>
  <c r="F123" i="1"/>
  <c r="I122" i="1"/>
  <c r="I121" i="1" s="1"/>
  <c r="G122" i="1"/>
  <c r="H122" i="1" s="1"/>
  <c r="F122" i="1"/>
  <c r="F121" i="1"/>
  <c r="E121" i="1"/>
  <c r="E120" i="1" s="1"/>
  <c r="D121" i="1"/>
  <c r="D120" i="1"/>
  <c r="I119" i="1"/>
  <c r="H119" i="1"/>
  <c r="F119" i="1"/>
  <c r="I118" i="1"/>
  <c r="G118" i="1"/>
  <c r="H118" i="1" s="1"/>
  <c r="F118" i="1"/>
  <c r="I117" i="1"/>
  <c r="I115" i="1" s="1"/>
  <c r="G117" i="1"/>
  <c r="H117" i="1" s="1"/>
  <c r="F117" i="1"/>
  <c r="I116" i="1"/>
  <c r="G116" i="1"/>
  <c r="H116" i="1" s="1"/>
  <c r="H115" i="1" s="1"/>
  <c r="F116" i="1"/>
  <c r="F115" i="1" s="1"/>
  <c r="G115" i="1"/>
  <c r="E115" i="1"/>
  <c r="E137" i="1" s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F83" i="1" s="1"/>
  <c r="F82" i="1" s="1"/>
  <c r="I84" i="1"/>
  <c r="H84" i="1"/>
  <c r="G84" i="1"/>
  <c r="F84" i="1"/>
  <c r="I83" i="1"/>
  <c r="I82" i="1" s="1"/>
  <c r="H83" i="1"/>
  <c r="G83" i="1"/>
  <c r="G82" i="1" s="1"/>
  <c r="E83" i="1"/>
  <c r="D83" i="1"/>
  <c r="H82" i="1"/>
  <c r="E82" i="1"/>
  <c r="D82" i="1"/>
  <c r="I81" i="1"/>
  <c r="H81" i="1"/>
  <c r="G81" i="1"/>
  <c r="F81" i="1"/>
  <c r="I80" i="1"/>
  <c r="I79" i="1" s="1"/>
  <c r="I94" i="1" s="1"/>
  <c r="H80" i="1"/>
  <c r="H79" i="1" s="1"/>
  <c r="H94" i="1" s="1"/>
  <c r="G80" i="1"/>
  <c r="G79" i="1" s="1"/>
  <c r="G94" i="1" s="1"/>
  <c r="F80" i="1"/>
  <c r="F79" i="1" s="1"/>
  <c r="E79" i="1"/>
  <c r="E94" i="1" s="1"/>
  <c r="D79" i="1"/>
  <c r="D94" i="1" s="1"/>
  <c r="C76" i="1"/>
  <c r="H72" i="1"/>
  <c r="F72" i="1"/>
  <c r="D72" i="1"/>
  <c r="H58" i="1"/>
  <c r="H57" i="1"/>
  <c r="I52" i="1"/>
  <c r="G52" i="1"/>
  <c r="F52" i="1"/>
  <c r="F31" i="1" s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 s="1"/>
  <c r="G34" i="1"/>
  <c r="G33" i="1" s="1"/>
  <c r="F34" i="1"/>
  <c r="E33" i="1"/>
  <c r="D33" i="1"/>
  <c r="I32" i="1"/>
  <c r="G32" i="1"/>
  <c r="H32" i="1" s="1"/>
  <c r="F32" i="1"/>
  <c r="I31" i="1"/>
  <c r="I30" i="1"/>
  <c r="H30" i="1"/>
  <c r="F30" i="1"/>
  <c r="I29" i="1"/>
  <c r="H29" i="1"/>
  <c r="G29" i="1"/>
  <c r="F29" i="1"/>
  <c r="I28" i="1"/>
  <c r="I26" i="1" s="1"/>
  <c r="G28" i="1"/>
  <c r="H28" i="1" s="1"/>
  <c r="F28" i="1"/>
  <c r="I27" i="1"/>
  <c r="G27" i="1"/>
  <c r="H27" i="1" s="1"/>
  <c r="F27" i="1"/>
  <c r="E26" i="1"/>
  <c r="D26" i="1"/>
  <c r="E25" i="1"/>
  <c r="D25" i="1"/>
  <c r="I24" i="1"/>
  <c r="H24" i="1"/>
  <c r="G24" i="1"/>
  <c r="F24" i="1"/>
  <c r="I23" i="1"/>
  <c r="I22" i="1" s="1"/>
  <c r="G23" i="1"/>
  <c r="G22" i="1" s="1"/>
  <c r="F23" i="1"/>
  <c r="F22" i="1" s="1"/>
  <c r="E22" i="1"/>
  <c r="E42" i="1" s="1"/>
  <c r="D22" i="1"/>
  <c r="D42" i="1" s="1"/>
  <c r="H16" i="1"/>
  <c r="F16" i="1"/>
  <c r="D16" i="1"/>
  <c r="H121" i="1" l="1"/>
  <c r="I25" i="1"/>
  <c r="F33" i="1"/>
  <c r="H34" i="1"/>
  <c r="F120" i="1"/>
  <c r="F137" i="1" s="1"/>
  <c r="H192" i="1"/>
  <c r="F26" i="1"/>
  <c r="F25" i="1" s="1"/>
  <c r="F42" i="1" s="1"/>
  <c r="I42" i="1"/>
  <c r="H33" i="1"/>
  <c r="H31" i="1"/>
  <c r="H26" i="1" s="1"/>
  <c r="G26" i="1"/>
  <c r="G25" i="1" s="1"/>
  <c r="G42" i="1" s="1"/>
  <c r="I120" i="1"/>
  <c r="I137" i="1" s="1"/>
  <c r="H262" i="1"/>
  <c r="H273" i="1" s="1"/>
  <c r="G215" i="1"/>
  <c r="F219" i="1"/>
  <c r="G219" i="1" s="1"/>
  <c r="G202" i="1"/>
  <c r="F206" i="1"/>
  <c r="G206" i="1" s="1"/>
  <c r="H304" i="1"/>
  <c r="F304" i="1"/>
  <c r="G304" i="1" s="1"/>
  <c r="G294" i="1"/>
  <c r="F94" i="1"/>
  <c r="G169" i="1"/>
  <c r="H128" i="1"/>
  <c r="H126" i="1" s="1"/>
  <c r="H120" i="1" s="1"/>
  <c r="H137" i="1" s="1"/>
  <c r="H189" i="1"/>
  <c r="H265" i="1"/>
  <c r="G323" i="1"/>
  <c r="G324" i="1" s="1"/>
  <c r="H23" i="1"/>
  <c r="H22" i="1" s="1"/>
  <c r="H52" i="1"/>
  <c r="G121" i="1"/>
  <c r="G120" i="1" s="1"/>
  <c r="G137" i="1" s="1"/>
  <c r="H25" i="1" l="1"/>
  <c r="H42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<sst xmlns="http://schemas.openxmlformats.org/spreadsheetml/2006/main" count="393" uniqueCount="167">
  <si>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</si>
  <si>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</si>
  <si>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</si>
  <si>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</si>
  <si>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</si>
  <si>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</si>
  <si>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</si>
  <si>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</si>
  <si>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</si>
  <si>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</si>
  <si>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</si>
  <si>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</si>
  <si>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</si>
  <si>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</si>
  <si>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</si>
  <si>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</si>
  <si>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</si>
  <si>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</si>
  <si>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</si>
  <si>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</si>
  <si>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</si>
  <si>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</si>
  <si>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</si>
  <si>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</si>
  <si>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</si>
  <si>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</si>
  <si>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</si>
  <si>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</si>
  <si>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</si>
  <si>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</si>
  <si>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</si>
  <si>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</si>
  <si>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</si>
  <si>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</si>
  <si>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</si>
  <si>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</si>
  <si>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</si>
  <si>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</si>
  <si>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</si>
  <si>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</si>
  <si>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</si>
  <si>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</si>
  <si>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</si>
  <si>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</si>
  <si>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</si>
  <si>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</si>
  <si>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</si>
  <si>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</si>
  <si>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</si>
  <si>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</si>
  <si>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</si>
  <si>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</si>
  <si>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</si>
  <si>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</si>
  <si>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</si>
  <si>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</si>
  <si>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</si>
  <si>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</si>
  <si>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</si>
  <si>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</si>
  <si>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</si>
  <si>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</si>
  <si>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</si>
  <si>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</si>
  <si>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</si>
  <si>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</si>
  <si>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</si>
  <si>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</si>
  <si>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</si>
  <si>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</si>
  <si>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</si>
  <si>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</si>
  <si>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</si>
  <si>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</si>
  <si>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</si>
  <si>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</si>
  <si>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</si>
  <si>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</si>
  <si>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</si>
  <si>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</si>
  <si>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</si>
  <si>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</si>
  <si>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</si>
  <si>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</si>
  <si>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</si>
  <si>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</si>
  <si>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</si>
  <si>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</si>
  <si>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</si>
  <si>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</si>
  <si>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</si>
  <si>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</si>
  <si>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</si>
  <si>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</si>
  <si>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</si>
  <si>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</si>
  <si>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</si>
  <si>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</si>
  <si>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</si>
  <si>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</si>
  <si>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</si>
  <si>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</si>
  <si>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</si>
  <si>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</si>
  <si>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</si>
  <si>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</si>
  <si>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</si>
  <si>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</si>
  <si>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</si>
  <si>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</si>
  <si>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</si>
  <si>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</si>
  <si>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</si>
  <si>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</si>
  <si>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</si>
  <si>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</si>
  <si>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</si>
  <si>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</si>
  <si>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</si>
  <si>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</si>
  <si>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</si>
  <si>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</si>
  <si>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</si>
  <si>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</si>
  <si>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</si>
  <si>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</si>
  <si>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</si>
  <si>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</si>
  <si>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</si>
  <si>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</si>
  <si>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</si>
  <si>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</si>
  <si>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</si>
  <si>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</si>
  <si>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</si>
  <si>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</si>
  <si>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</si>
  <si>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</si>
  <si>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</si>
  <si>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</si>
  <si>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</si>
  <si>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</si>
  <si>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</si>
  <si>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</si>
  <si>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</si>
  <si>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</si>
  <si>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</si>
  <si>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</si>
  <si>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</si>
  <si>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</si>
  <si>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</si>
  <si>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</si>
  <si>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</si>
  <si>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</si>
  <si>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</si>
  <si>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</si>
  <si>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</si>
  <si>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</si>
  <si>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</si>
  <si>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52 tonn, men det legges til grunn at hele avsetningen tas</t>
  </si>
  <si>
    <t>4 Registrert rekreasjonsfiske utgjør 392 tonn, men det legges til grunn at hele avsetningen tas</t>
  </si>
  <si>
    <t>3 Registrert rekreasjonsfiske utgjør 761 tonn, men det legges til grunn at hele avsetningen tas</t>
  </si>
  <si>
    <t>FANGST UKE 42</t>
  </si>
  <si>
    <t>FANGST T.O.M UKE 42</t>
  </si>
  <si>
    <t>RESTKVOTER UKE 42</t>
  </si>
  <si>
    <t>FANGST T.O.M UKE 42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</si>
  <si>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3 220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</si>
</sst>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6" zoomScale="112" zoomScaleNormal="55" zoomScaleSheetLayoutView="100" zoomScalePageLayoutView="85" workbookViewId="0">
      <selection activeCell="H36" sqref="H3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631.48844999999994</v>
      </c>
      <c r="G22" s="27">
        <f t="shared" si="0"/>
        <v>28278.645109999998</v>
      </c>
      <c r="H22" s="10">
        <f t="shared" si="0"/>
        <v>13307.354890000001</v>
      </c>
      <c r="I22" s="10">
        <f t="shared" si="0"/>
        <v>45023.46845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594.85755</f>
        <v>594.85754999999995</v>
      </c>
      <c r="G23" s="22">
        <f>27822.26906</f>
        <v>27822.269059999999</v>
      </c>
      <c r="H23" s="22">
        <f>E23-G23</f>
        <v>13000.730940000001</v>
      </c>
      <c r="I23" s="22">
        <f>44495.88587</f>
        <v>44495.885869999998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36.6309</f>
        <v>36.630899999999997</v>
      </c>
      <c r="G24" s="22">
        <f>456.37605</f>
        <v>456.37605000000002</v>
      </c>
      <c r="H24" s="22">
        <f>E24-G24</f>
        <v>306.62394999999998</v>
      </c>
      <c r="I24" s="22">
        <f>527.58258</f>
        <v>527.58258000000001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282.71983999999998</v>
      </c>
      <c r="G25" s="10">
        <f t="shared" si="1"/>
        <v>107350.31096999999</v>
      </c>
      <c r="H25" s="10">
        <f t="shared" si="1"/>
        <v>14317.689029999996</v>
      </c>
      <c r="I25" s="10">
        <f t="shared" si="1"/>
        <v>126475.11296000001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231.37456</v>
      </c>
      <c r="G26" s="129">
        <f>G27+G28+G29+G30+G31</f>
        <v>85912.793879999997</v>
      </c>
      <c r="H26" s="129">
        <f t="shared" ref="H26:I26" si="2">H27+H28+H29+H30+H31</f>
        <v>8980.2061199999971</v>
      </c>
      <c r="I26" s="129">
        <f t="shared" si="2"/>
        <v>102876.20382000001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99.75489 - F53</f>
        <v>25.754890000000003</v>
      </c>
      <c r="G27" s="123">
        <f>23503.2759 - G53</f>
        <v>22788.275900000001</v>
      </c>
      <c r="H27" s="123">
        <f t="shared" ref="H27:H39" si="3">E27-G27</f>
        <v>2364.7240999999995</v>
      </c>
      <c r="I27" s="123">
        <f>26761.06353 - I53</f>
        <v>25888.063529999999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73.69603 - F54</f>
        <v>30.696029999999993</v>
      </c>
      <c r="G28" s="123">
        <f>23670.92209 - G54</f>
        <v>22651.92209</v>
      </c>
      <c r="H28" s="123">
        <f t="shared" si="3"/>
        <v>1342.07791</v>
      </c>
      <c r="I28" s="123">
        <f>29191.28638 - I54</f>
        <v>27977.286380000001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27.71092 - F55</f>
        <v>-13.289079999999998</v>
      </c>
      <c r="G29" s="123">
        <f>22557.49101 - G55</f>
        <v>21327.491010000002</v>
      </c>
      <c r="H29" s="123">
        <f t="shared" si="3"/>
        <v>542.50898999999845</v>
      </c>
      <c r="I29" s="123">
        <f>26849.05146 - I55</f>
        <v>25662.051459999999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30.21272 - F56</f>
        <v>-9.7872799999999991</v>
      </c>
      <c r="G30" s="123">
        <f>16181.10488 - G56</f>
        <v>15436.104880000001</v>
      </c>
      <c r="H30" s="123">
        <f t="shared" si="3"/>
        <v>208.89511999999922</v>
      </c>
      <c r="I30" s="123">
        <f>20074.80245 - I56</f>
        <v>19003.802449999999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198</v>
      </c>
      <c r="G31" s="123">
        <f>G52</f>
        <v>3709</v>
      </c>
      <c r="H31" s="123">
        <f>E31-G31</f>
        <v>4522</v>
      </c>
      <c r="I31" s="123">
        <f>I52</f>
        <v>4345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13679</v>
      </c>
      <c r="F32" s="129">
        <f>0.39669</f>
        <v>0.39668999999999999</v>
      </c>
      <c r="G32" s="129">
        <f>9750.98146</f>
        <v>9750.9814600000009</v>
      </c>
      <c r="H32" s="129">
        <f t="shared" si="3"/>
        <v>3928.0185399999991</v>
      </c>
      <c r="I32" s="129">
        <f>11381.47564</f>
        <v>11381.475640000001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50.948589999999996</v>
      </c>
      <c r="G33" s="129">
        <f>G34+G35</f>
        <v>11686.53563</v>
      </c>
      <c r="H33" s="129">
        <f t="shared" si="3"/>
        <v>1409.4643699999997</v>
      </c>
      <c r="I33" s="129">
        <f>I34+I35</f>
        <v>12217.433499999999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12136</v>
      </c>
      <c r="F34" s="123">
        <f>68.94859 - F57 - F58</f>
        <v>-4.0514100000000042</v>
      </c>
      <c r="G34" s="129">
        <f>13830.53563 - G57 - G58</f>
        <v>11077.53563</v>
      </c>
      <c r="H34" s="123">
        <f t="shared" si="3"/>
        <v>1058.4643699999997</v>
      </c>
      <c r="I34" s="123">
        <f>15073.4335 - I57 - I58</f>
        <v>11656.433499999999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55</v>
      </c>
      <c r="G35" s="67">
        <f>G57</f>
        <v>609</v>
      </c>
      <c r="H35" s="67">
        <f t="shared" si="3"/>
        <v>351</v>
      </c>
      <c r="I35" s="67">
        <f>I57</f>
        <v>561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3.9945</f>
        <v>3.9944999999999999</v>
      </c>
      <c r="G37" s="95">
        <f>594.32575</f>
        <v>594.32574999999997</v>
      </c>
      <c r="H37" s="95">
        <f t="shared" si="3"/>
        <v>260.67425000000003</v>
      </c>
      <c r="I37" s="95">
        <f>489.91078</f>
        <v>489.91077999999999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18</v>
      </c>
      <c r="G38" s="95">
        <f>G58</f>
        <v>2144</v>
      </c>
      <c r="H38" s="95">
        <f t="shared" si="3"/>
        <v>856</v>
      </c>
      <c r="I38" s="95">
        <f>I58</f>
        <v>2856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1.07546</f>
        <v>1.0754600000000001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0.098</f>
        <v>9.8000000000000004E-2</v>
      </c>
      <c r="G40" s="95">
        <f>384.53828</f>
        <v>384.53827999999999</v>
      </c>
      <c r="H40" s="95">
        <f>E40-G40</f>
        <v>65.461720000000014</v>
      </c>
      <c r="I40" s="95">
        <f>344.31954</f>
        <v>344.31954000000002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1.412</f>
        <v>1.4119999999999999</v>
      </c>
      <c r="G41" s="136">
        <f>103.08163</f>
        <v>103.08163</v>
      </c>
      <c r="H41" s="136">
        <f t="shared" ref="H41" si="4">E41-G41</f>
        <v>-103.08163</v>
      </c>
      <c r="I41" s="136">
        <f>93.84726</f>
        <v>93.847260000000006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938.78824999999995</v>
      </c>
      <c r="G42" s="73">
        <f t="shared" si="5"/>
        <v>146135.15813999998</v>
      </c>
      <c r="H42" s="73">
        <f t="shared" si="5"/>
        <v>29423.841859999997</v>
      </c>
      <c r="I42" s="73">
        <f t="shared" si="5"/>
        <v>182631.02019000004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198</v>
      </c>
      <c r="G52" s="10">
        <f>G56+G55+G54+G53</f>
        <v>3709</v>
      </c>
      <c r="H52" s="329">
        <f>E52-G52</f>
        <v>4522</v>
      </c>
      <c r="I52" s="10">
        <f>I56+I55+I54+I53</f>
        <v>4345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>
        <v>74</v>
      </c>
      <c r="G53" s="123">
        <v>715</v>
      </c>
      <c r="H53" s="330"/>
      <c r="I53" s="123">
        <v>873</v>
      </c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>
        <v>43</v>
      </c>
      <c r="G54" s="123">
        <v>1019</v>
      </c>
      <c r="H54" s="330"/>
      <c r="I54" s="123">
        <v>1214</v>
      </c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>
        <v>41</v>
      </c>
      <c r="G55" s="123">
        <v>1230</v>
      </c>
      <c r="H55" s="330"/>
      <c r="I55" s="123">
        <v>1187</v>
      </c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>
        <v>40</v>
      </c>
      <c r="G56" s="186">
        <v>745</v>
      </c>
      <c r="H56" s="331"/>
      <c r="I56" s="186">
        <v>1071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55</v>
      </c>
      <c r="G57" s="92">
        <v>609</v>
      </c>
      <c r="H57" s="92">
        <f>E57-G57</f>
        <v>351</v>
      </c>
      <c r="I57" s="92">
        <v>561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18</v>
      </c>
      <c r="G58" s="136">
        <v>2144</v>
      </c>
      <c r="H58" s="136">
        <f>E58-G58</f>
        <v>856</v>
      </c>
      <c r="I58" s="136">
        <v>2856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65.549260000000004</v>
      </c>
      <c r="G79" s="10">
        <f t="shared" si="6"/>
        <v>21392.138299999999</v>
      </c>
      <c r="H79" s="10">
        <f t="shared" si="6"/>
        <v>4748.8617000000013</v>
      </c>
      <c r="I79" s="10">
        <f t="shared" si="6"/>
        <v>23803.928800000002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60.26342</f>
        <v>60.263420000000004</v>
      </c>
      <c r="G80" s="22">
        <f>20846.08804</f>
        <v>20846.088039999999</v>
      </c>
      <c r="H80" s="22">
        <f>E80-G80</f>
        <v>4469.9119600000013</v>
      </c>
      <c r="I80" s="22">
        <f>23008.52125</f>
        <v>23008.521250000002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5.28584</f>
        <v>5.2858400000000003</v>
      </c>
      <c r="G81" s="48">
        <f>546.05026</f>
        <v>546.05025999999998</v>
      </c>
      <c r="H81" s="48">
        <f>E81-G81</f>
        <v>278.94974000000002</v>
      </c>
      <c r="I81" s="48">
        <f>795.40755</f>
        <v>795.40755000000001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255.40493000000001</v>
      </c>
      <c r="G82" s="10">
        <f t="shared" si="7"/>
        <v>34457.794330000004</v>
      </c>
      <c r="H82" s="10">
        <f t="shared" si="7"/>
        <v>9671.2056699999994</v>
      </c>
      <c r="I82" s="10">
        <f t="shared" si="7"/>
        <v>40720.195079999998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173.39589000000001</v>
      </c>
      <c r="G83" s="129">
        <f t="shared" si="8"/>
        <v>27493.396210000003</v>
      </c>
      <c r="H83" s="129">
        <f t="shared" si="8"/>
        <v>5011.6037899999992</v>
      </c>
      <c r="I83" s="129">
        <f t="shared" si="8"/>
        <v>32748.408650000001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92.03366</f>
        <v>92.033659999999998</v>
      </c>
      <c r="G84" s="123">
        <f>3859.57236</f>
        <v>3859.5723600000001</v>
      </c>
      <c r="H84" s="123">
        <f t="shared" ref="H84:H91" si="9">E84-G84</f>
        <v>5144.4276399999999</v>
      </c>
      <c r="I84" s="123">
        <f>5441.38219</f>
        <v>5441.3821900000003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9075</v>
      </c>
      <c r="F85" s="123">
        <f>35.04417</f>
        <v>35.044170000000001</v>
      </c>
      <c r="G85" s="123">
        <f>7337.46</f>
        <v>7337.46</v>
      </c>
      <c r="H85" s="123">
        <f t="shared" si="9"/>
        <v>1737.54</v>
      </c>
      <c r="I85" s="123">
        <f>10519.26257</f>
        <v>10519.262570000001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8649</v>
      </c>
      <c r="F86" s="123">
        <f>19.25218</f>
        <v>19.252179999999999</v>
      </c>
      <c r="G86" s="123">
        <f>8371.45245</f>
        <v>8371.4524500000007</v>
      </c>
      <c r="H86" s="123">
        <f t="shared" si="9"/>
        <v>277.54754999999932</v>
      </c>
      <c r="I86" s="123">
        <f>9853.06216</f>
        <v>9853.0621599999995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27.06588</f>
        <v>27.06588</v>
      </c>
      <c r="G87" s="123">
        <f>7924.9114</f>
        <v>7924.9114</v>
      </c>
      <c r="H87" s="123">
        <f t="shared" si="9"/>
        <v>-2147.9114</v>
      </c>
      <c r="I87" s="123">
        <f>6934.70173</f>
        <v>6934.7017299999998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0.07262</f>
        <v>7.2620000000000004E-2</v>
      </c>
      <c r="G88" s="129">
        <f>4975.14695</f>
        <v>4975.1469500000003</v>
      </c>
      <c r="H88" s="129">
        <f t="shared" si="9"/>
        <v>3141.8530499999997</v>
      </c>
      <c r="I88" s="129">
        <f>5498.89437</f>
        <v>5498.89437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81.93642</f>
        <v>81.936419999999998</v>
      </c>
      <c r="G89" s="72">
        <f>1989.25117</f>
        <v>1989.25117</v>
      </c>
      <c r="H89" s="72">
        <f t="shared" si="9"/>
        <v>1517.74883</v>
      </c>
      <c r="I89" s="72">
        <f>2472.89206</f>
        <v>2472.8920600000001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0.864</f>
        <v>0.86399999999999999</v>
      </c>
      <c r="G90" s="95">
        <f>37.97029</f>
        <v>37.970289999999999</v>
      </c>
      <c r="H90" s="95">
        <f t="shared" si="9"/>
        <v>281.02971000000002</v>
      </c>
      <c r="I90" s="95">
        <f>36.14478</f>
        <v>36.144779999999997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0.0506</f>
        <v>5.0599999999999999E-2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0.009</f>
        <v>8.9999999999999993E-3</v>
      </c>
      <c r="G92" s="95">
        <f>13.94462</f>
        <v>13.94462</v>
      </c>
      <c r="H92" s="136">
        <f>E92-G92</f>
        <v>36.05538</v>
      </c>
      <c r="I92" s="95">
        <f>44.47936</f>
        <v>44.47936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12.88736</f>
        <v>12.887359999999999</v>
      </c>
      <c r="H93" s="136">
        <f t="shared" ref="H93" si="10">E93-G93</f>
        <v>-12.887359999999999</v>
      </c>
      <c r="I93" s="136">
        <f>27.44344</f>
        <v>27.443439999999999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321.87779</v>
      </c>
      <c r="G94" s="73">
        <f t="shared" si="12"/>
        <v>56214.734900000003</v>
      </c>
      <c r="H94" s="73">
        <f t="shared" si="12"/>
        <v>14724.265100000001</v>
      </c>
      <c r="I94" s="73">
        <f t="shared" si="12"/>
        <v>64932.191460000002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706.83084000000008</v>
      </c>
      <c r="G115" s="10">
        <f t="shared" si="13"/>
        <v>41158.770140000001</v>
      </c>
      <c r="H115" s="10">
        <f t="shared" si="13"/>
        <v>29856.229860000003</v>
      </c>
      <c r="I115" s="10">
        <f t="shared" si="13"/>
        <v>51063.611380000002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615.94965</f>
        <v>615.94965000000002</v>
      </c>
      <c r="G116" s="22">
        <f>36873.34561</f>
        <v>36873.345609999997</v>
      </c>
      <c r="H116" s="22">
        <f>E116-G116</f>
        <v>19576.654390000003</v>
      </c>
      <c r="I116" s="22">
        <f>45332.22329</f>
        <v>45332.223290000002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90.88119</f>
        <v>90.881190000000004</v>
      </c>
      <c r="G117" s="22">
        <f>4220.06693</f>
        <v>4220.06693</v>
      </c>
      <c r="H117" s="22">
        <f>E117-G117</f>
        <v>9844.9330699999991</v>
      </c>
      <c r="I117" s="22">
        <f>5660.56194</f>
        <v>5660.5619399999996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70.82615</f>
        <v>70.826149999999998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0.229</f>
        <v>0.22900000000000001</v>
      </c>
      <c r="G119" s="92">
        <f>30066.8957+3219.8827</f>
        <v>33286.778400000003</v>
      </c>
      <c r="H119" s="92">
        <f>E119-G119</f>
        <v>18143.221599999997</v>
      </c>
      <c r="I119" s="92">
        <f>16262.2248</f>
        <v>16262.2248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324.31317999999999</v>
      </c>
      <c r="G120" s="91">
        <f t="shared" ref="G120" si="14">G121+G126+G129</f>
        <v>44177.920029999994</v>
      </c>
      <c r="H120" s="91">
        <f>H121+H126+H129</f>
        <v>30867.079969999995</v>
      </c>
      <c r="I120" s="91">
        <f>I121+I126+I129</f>
        <v>66309.369309999995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232.74164000000002</v>
      </c>
      <c r="G121" s="121">
        <f>G122+G123+G125+G124</f>
        <v>32569.309179999997</v>
      </c>
      <c r="H121" s="121">
        <f>H122+H123+H124+H125</f>
        <v>23789.690819999996</v>
      </c>
      <c r="I121" s="121">
        <f>I122+I123+I124+I125</f>
        <v>51275.843529999998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129.40172</f>
        <v>129.40172000000001</v>
      </c>
      <c r="G122" s="123">
        <f>8077.65524</f>
        <v>8077.65524</v>
      </c>
      <c r="H122" s="123">
        <f>E122-G122</f>
        <v>7938.34476</v>
      </c>
      <c r="I122" s="123">
        <f>10187.11921</f>
        <v>10187.119210000001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37.71562</f>
        <v>37.715620000000001</v>
      </c>
      <c r="G123" s="123">
        <f>9097.21787-94.217</f>
        <v>9003.0008699999998</v>
      </c>
      <c r="H123" s="123">
        <f>E123-G123</f>
        <v>5850.9991300000002</v>
      </c>
      <c r="I123" s="123">
        <f>13165.12488</f>
        <v>13165.124879999999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36.8163</f>
        <v>36.816299999999998</v>
      </c>
      <c r="G124" s="123">
        <f>8690.0291-646.3421</f>
        <v>8043.6869999999999</v>
      </c>
      <c r="H124" s="123">
        <f>E124-G124</f>
        <v>4828.3130000000001</v>
      </c>
      <c r="I124" s="123">
        <f>13329.43552</f>
        <v>13329.435520000001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28.808</f>
        <v>28.808</v>
      </c>
      <c r="G125" s="123">
        <f>9924.28967-2479.3236</f>
        <v>7444.9660700000004</v>
      </c>
      <c r="H125" s="123">
        <f>E125-G125</f>
        <v>5172.0339299999996</v>
      </c>
      <c r="I125" s="123">
        <f>14594.16392</f>
        <v>14594.163920000001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1.24003</v>
      </c>
      <c r="G126" s="129">
        <f>SUM(G127:G128)</f>
        <v>6278.83835</v>
      </c>
      <c r="H126" s="129">
        <f>H127+H128</f>
        <v>1463.1616499999998</v>
      </c>
      <c r="I126" s="129">
        <f>SUM(I127:I128)</f>
        <v>8920.2647700000016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6093.39083</f>
        <v>6093.3908300000003</v>
      </c>
      <c r="H127" s="123">
        <f t="shared" ref="H127:H135" si="15">E127-G127</f>
        <v>1148.6091699999997</v>
      </c>
      <c r="I127" s="123">
        <f>8475.63584</f>
        <v>8475.6358400000008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1.24003</f>
        <v>1.24003</v>
      </c>
      <c r="G128" s="123">
        <f>185.44752</f>
        <v>185.44752</v>
      </c>
      <c r="H128" s="123">
        <f t="shared" si="15"/>
        <v>314.55248</v>
      </c>
      <c r="I128" s="123">
        <f>444.62893</f>
        <v>444.62893000000003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90.33151</f>
        <v>90.331509999999994</v>
      </c>
      <c r="G129" s="72">
        <f>5329.7725</f>
        <v>5329.7725</v>
      </c>
      <c r="H129" s="72">
        <f t="shared" si="15"/>
        <v>5614.2275</v>
      </c>
      <c r="I129" s="72">
        <f>6113.26101</f>
        <v>6113.2610100000002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0.26555</f>
        <v>0.26555000000000001</v>
      </c>
      <c r="G130" s="136">
        <f>18.06673</f>
        <v>18.06673</v>
      </c>
      <c r="H130" s="136">
        <f t="shared" si="15"/>
        <v>127.93326999999999</v>
      </c>
      <c r="I130" s="136">
        <f>16.12295</f>
        <v>16.122949999999999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0.1</f>
        <v>0.1</v>
      </c>
      <c r="G131" s="95">
        <f>1.101</f>
        <v>1.101</v>
      </c>
      <c r="H131" s="95">
        <f t="shared" si="15"/>
        <v>348.899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1.42605</f>
        <v>1.42605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0.057</f>
        <v>5.7000000000000002E-2</v>
      </c>
      <c r="G134" s="95">
        <f>89.3133</f>
        <v>89.313299999999998</v>
      </c>
      <c r="H134" s="136">
        <f t="shared" si="15"/>
        <v>223.6867</v>
      </c>
      <c r="I134" s="95">
        <f>57.37361</f>
        <v>57.373609999999999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0.46255</f>
        <v>0.46255000000000002</v>
      </c>
      <c r="G135" s="136">
        <f>93.25284</f>
        <v>93.252840000000006</v>
      </c>
      <c r="H135" s="136">
        <f t="shared" si="15"/>
        <v>-93.252840000000006</v>
      </c>
      <c r="I135" s="136">
        <f>173.32824</f>
        <v>173.32823999999999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1033.68417</v>
      </c>
      <c r="G137" s="73">
        <f>G115+G119+G120+G130+G131+G132+G133+G134+G135</f>
        <v>120825.20243999999</v>
      </c>
      <c r="H137" s="73">
        <f>H115+H119+H120+H130+H131+H132+H133+H134+H135</f>
        <v>79473.797559999992</v>
      </c>
      <c r="I137" s="73">
        <f>I115+I119+I120+I130+I131+I132+I133+I134+I135</f>
        <v>136138.06628999999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80.371</f>
        <v>80.370999999999995</v>
      </c>
      <c r="F160" s="297">
        <f>1117.52537</f>
        <v>1117.5253700000001</v>
      </c>
      <c r="G160" s="42">
        <f>D160-F160-F161</f>
        <v>1433.6157499999997</v>
      </c>
      <c r="H160" s="297">
        <f>1132.71342</f>
        <v>1132.71342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0</f>
        <v>0</v>
      </c>
      <c r="F161" s="148">
        <f>1210.85888</f>
        <v>1210.85888</v>
      </c>
      <c r="G161" s="219"/>
      <c r="H161" s="148">
        <f>1567.11344</f>
        <v>1567.1134400000001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0.02296</f>
        <v>2.2960000000000001E-2</v>
      </c>
      <c r="F162" s="166">
        <f>87.19078</f>
        <v>87.190780000000004</v>
      </c>
      <c r="G162" s="166">
        <f>D162-F162</f>
        <v>112.80922</v>
      </c>
      <c r="H162" s="166">
        <f>104.78049</f>
        <v>104.78049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5.8112200000000005</v>
      </c>
      <c r="F163" s="175">
        <f>F164+F165+F166</f>
        <v>5433.5178999999998</v>
      </c>
      <c r="G163" s="175">
        <f>D163-F163</f>
        <v>208.48210000000017</v>
      </c>
      <c r="H163" s="175">
        <f>H164+H165+H166</f>
        <v>5978.4005500000003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0.62591</f>
        <v>0.62590999999999997</v>
      </c>
      <c r="F164" s="123">
        <f>3069.11293</f>
        <v>3069.1129299999998</v>
      </c>
      <c r="G164" s="123"/>
      <c r="H164" s="123">
        <f>3091.3642</f>
        <v>3091.3642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5.18531</f>
        <v>5.1853100000000003</v>
      </c>
      <c r="F165" s="123">
        <f>1584.06939</f>
        <v>1584.0693900000001</v>
      </c>
      <c r="G165" s="123"/>
      <c r="H165" s="123">
        <f>1822.57852</f>
        <v>1822.57852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0</f>
        <v>0</v>
      </c>
      <c r="F166" s="186">
        <f>780.33558</f>
        <v>780.33558000000005</v>
      </c>
      <c r="G166" s="186"/>
      <c r="H166" s="186">
        <f>1064.45783</f>
        <v>1064.4578300000001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86.205179999999999</v>
      </c>
      <c r="F169" s="188">
        <f>F160+F161+F162+F163+F167+F168</f>
        <v>7854.4460300000001</v>
      </c>
      <c r="G169" s="188">
        <f>D169-F169</f>
        <v>1820.5539699999999</v>
      </c>
      <c r="H169" s="188">
        <f>H160+H161+H162+H163+H167+H168</f>
        <v>8783.0079000000005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349.66583</f>
        <v>349.66583000000003</v>
      </c>
      <c r="G189" s="124">
        <f>44471.38764</f>
        <v>44471.387640000001</v>
      </c>
      <c r="H189" s="124">
        <f>E189-G189</f>
        <v>-1136.3876400000008</v>
      </c>
      <c r="I189" s="124">
        <f>41814.44422</f>
        <v>41814.444219999998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0.1626</f>
        <v>0.16259999999999999</v>
      </c>
      <c r="G190" s="124">
        <f>37.96074</f>
        <v>37.960740000000001</v>
      </c>
      <c r="H190" s="124">
        <f>E190-G190</f>
        <v>62.039259999999999</v>
      </c>
      <c r="I190" s="124">
        <f>40.65676</f>
        <v>40.656759999999998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349.82843000000003</v>
      </c>
      <c r="G192" s="190">
        <f>SUM(G189:G191)</f>
        <v>44509.348380000003</v>
      </c>
      <c r="H192" s="190">
        <f>E192-G192</f>
        <v>-1038.3483800000031</v>
      </c>
      <c r="I192" s="190">
        <f>SUM(I189:I191)</f>
        <v>41855.100979999996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16.297330000000002</v>
      </c>
      <c r="F202" s="72">
        <f>F203+F204</f>
        <v>3848.5819799999999</v>
      </c>
      <c r="G202" s="72">
        <f>D202-F202</f>
        <v>138.41802000000007</v>
      </c>
      <c r="H202" s="72">
        <f>H203+H204</f>
        <v>4226.9587599999995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3.89359</f>
        <v>3.8935900000000001</v>
      </c>
      <c r="F203" s="72">
        <f>3150.27099</f>
        <v>3150.27099</v>
      </c>
      <c r="G203" s="72"/>
      <c r="H203" s="72">
        <f>3637.80667</f>
        <v>3637.8066699999999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12.40374</f>
        <v>12.403740000000001</v>
      </c>
      <c r="F204" s="124">
        <f>698.31099</f>
        <v>698.31098999999995</v>
      </c>
      <c r="G204" s="168"/>
      <c r="H204" s="124">
        <f>589.15209</f>
        <v>589.15209000000004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22.93246</f>
        <v>22.932459999999999</v>
      </c>
      <c r="F205" s="72">
        <f>4600.4682</f>
        <v>4600.4682000000003</v>
      </c>
      <c r="G205" s="72">
        <f>D205-F205</f>
        <v>12.531799999999748</v>
      </c>
      <c r="H205" s="72">
        <f>5336.70877</f>
        <v>5336.7087700000002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39.229790000000001</v>
      </c>
      <c r="F206" s="190">
        <f>SUM(F202,F205)</f>
        <v>8449.0501800000002</v>
      </c>
      <c r="G206" s="190">
        <f>D206-F206</f>
        <v>150.94981999999982</v>
      </c>
      <c r="H206" s="190">
        <f>SUM(H202,H205)</f>
        <v>9563.6675299999988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5.6891800000000003</v>
      </c>
      <c r="F215" s="72">
        <f>F216+F217</f>
        <v>5343.9081100000003</v>
      </c>
      <c r="G215" s="72">
        <f>D215-F215</f>
        <v>-253.90811000000031</v>
      </c>
      <c r="H215" s="72">
        <f>H216+H217</f>
        <v>5311.2930999999999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0.45406</f>
        <v>0.45406000000000002</v>
      </c>
      <c r="F216" s="72">
        <f>4985.37619</f>
        <v>4985.37619</v>
      </c>
      <c r="G216" s="72"/>
      <c r="H216" s="72">
        <f>4831.00022</f>
        <v>4831.0002199999999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5.23512</f>
        <v>5.2351200000000002</v>
      </c>
      <c r="F217" s="124">
        <f>358.53192</f>
        <v>358.53192000000001</v>
      </c>
      <c r="G217" s="168"/>
      <c r="H217" s="124">
        <f>480.29288</f>
        <v>480.29288000000003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61.47218</f>
        <v>61.472180000000002</v>
      </c>
      <c r="F218" s="72">
        <f>2414.88175</f>
        <v>2414.88175</v>
      </c>
      <c r="G218" s="72">
        <f>D218-F218</f>
        <v>566.11824999999999</v>
      </c>
      <c r="H218" s="72">
        <f>2809.32455</f>
        <v>2809.3245499999998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67.161360000000002</v>
      </c>
      <c r="F219" s="190">
        <f>SUM(F215,F218)</f>
        <v>7758.7898600000008</v>
      </c>
      <c r="G219" s="190">
        <f>D219-F219</f>
        <v>312.21013999999923</v>
      </c>
      <c r="H219" s="190">
        <f>SUM(H215,H218)</f>
        <v>8120.6176500000001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6.25029</f>
        <v>6.2502899999999997</v>
      </c>
      <c r="F237" s="124">
        <f>540.63597</f>
        <v>540.63597000000004</v>
      </c>
      <c r="G237" s="124">
        <f>D237-F237</f>
        <v>259.36402999999996</v>
      </c>
      <c r="H237" s="124">
        <f>598.10984</f>
        <v>598.10983999999996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46.91552</f>
        <v>46.915520000000001</v>
      </c>
      <c r="F238" s="124">
        <f>1281.91142</f>
        <v>1281.9114199999999</v>
      </c>
      <c r="G238" s="124">
        <f>D238-F238</f>
        <v>911.08858000000009</v>
      </c>
      <c r="H238" s="124">
        <f>2272.03921</f>
        <v>2272.0392099999999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0.0093</f>
        <v>9.2999999999999992E-3</v>
      </c>
      <c r="F240" s="168">
        <f>3.26583</f>
        <v>3.2658299999999998</v>
      </c>
      <c r="G240" s="124">
        <f>D240-F240</f>
        <v>-3.2658299999999998</v>
      </c>
      <c r="H240" s="168">
        <f>0.248</f>
        <v>0.248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53.175110000000004</v>
      </c>
      <c r="F241" s="190">
        <f>SUM(F237:F240)</f>
        <v>1828.8669199999999</v>
      </c>
      <c r="G241" s="190">
        <f>D241-F241</f>
        <v>1174.1330800000001</v>
      </c>
      <c r="H241" s="190">
        <f>H237+H238+H239+H240</f>
        <v>2874.0066700000002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418.55727999999999</v>
      </c>
      <c r="G262" s="276">
        <f t="shared" si="17"/>
        <v>22794.75318</v>
      </c>
      <c r="H262" s="276">
        <f>H266+H265+H264+H263</f>
        <v>4941.2468199999994</v>
      </c>
      <c r="I262" s="276">
        <f t="shared" si="17"/>
        <v>19076.899119999998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227.5521</f>
        <v>227.5521</v>
      </c>
      <c r="G263" s="280">
        <f>15887.03605</f>
        <v>15887.036050000001</v>
      </c>
      <c r="H263" s="280">
        <f t="shared" ref="H263:H267" si="18">E263-G263</f>
        <v>782.96394999999939</v>
      </c>
      <c r="I263" s="280">
        <f>12766.95653</f>
        <v>12766.956529999999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153.77486</f>
        <v>153.77485999999999</v>
      </c>
      <c r="G264" s="280">
        <f>2278.98213</f>
        <v>2278.9821299999999</v>
      </c>
      <c r="H264" s="280">
        <f>E264-G264</f>
        <v>2060.0178700000001</v>
      </c>
      <c r="I264" s="280">
        <f>1998.07392</f>
        <v>1998.07392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32.67132</f>
        <v>32.671320000000001</v>
      </c>
      <c r="G265" s="280">
        <f>1561.21801</f>
        <v>1561.21801</v>
      </c>
      <c r="H265" s="280">
        <f t="shared" si="18"/>
        <v>9.7819899999999507</v>
      </c>
      <c r="I265" s="280">
        <f>1870.71141</f>
        <v>1870.7114099999999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4.559</f>
        <v>4.5590000000000002</v>
      </c>
      <c r="G266" s="280">
        <f>3067.51699</f>
        <v>3067.5169900000001</v>
      </c>
      <c r="H266" s="280">
        <f t="shared" si="18"/>
        <v>2088.4830099999999</v>
      </c>
      <c r="I266" s="280">
        <f>2441.15726</f>
        <v>2441.15726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10.205</f>
        <v>10.205</v>
      </c>
      <c r="G267" s="290">
        <f>4113.21924</f>
        <v>4113.2192400000004</v>
      </c>
      <c r="H267" s="290">
        <f t="shared" si="18"/>
        <v>1386.7807599999996</v>
      </c>
      <c r="I267" s="290">
        <f>2113.24278</f>
        <v>2113.24278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85.583039999999997</v>
      </c>
      <c r="G268" s="291">
        <f>G270+G269</f>
        <v>3127.16662</v>
      </c>
      <c r="H268" s="291">
        <f>E268-G268</f>
        <v>4872.83338</v>
      </c>
      <c r="I268" s="291">
        <f>I270+I269</f>
        <v>3835.1036699999995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526.65151</f>
        <v>526.65151000000003</v>
      </c>
      <c r="H269" s="280"/>
      <c r="I269" s="280">
        <f>1038.76929</f>
        <v>1038.76929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85.58304</f>
        <v>85.583039999999997</v>
      </c>
      <c r="G270" s="299">
        <f>2600.51511</f>
        <v>2600.5151099999998</v>
      </c>
      <c r="H270" s="299"/>
      <c r="I270" s="299">
        <f>2796.33438</f>
        <v>2796.3343799999998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0.1484</f>
        <v>0.1484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2.25744</f>
        <v>2.2574399999999999</v>
      </c>
      <c r="G272" s="290">
        <f>168.76265</f>
        <v>168.76265000000001</v>
      </c>
      <c r="H272" s="290">
        <f>E272-G272</f>
        <v>-168.76265000000001</v>
      </c>
      <c r="I272" s="290">
        <f>106.3852</f>
        <v>106.3852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516.60275999999999</v>
      </c>
      <c r="G273" s="308">
        <f t="shared" si="19"/>
        <v>30204.47019</v>
      </c>
      <c r="H273" s="308">
        <f>H262+H267+H268+H271+H272</f>
        <v>11044.529809999998</v>
      </c>
      <c r="I273" s="308">
        <f t="shared" si="19"/>
        <v>25131.779169999998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39.222499999999997</v>
      </c>
      <c r="F294" s="25">
        <f>SUM(F295:F296)</f>
        <v>823.99023</v>
      </c>
      <c r="G294" s="82">
        <f>D294-F294</f>
        <v>-44.990229999999997</v>
      </c>
      <c r="H294" s="25">
        <f>SUM(H295:H296)</f>
        <v>925.60708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28.5585</f>
        <v>28.558499999999999</v>
      </c>
      <c r="F295" s="198">
        <f>609.80525</f>
        <v>609.80525</v>
      </c>
      <c r="G295" s="199"/>
      <c r="H295" s="198">
        <f>696.91258</f>
        <v>696.91258000000005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10.664</f>
        <v>10.664</v>
      </c>
      <c r="F296" s="202">
        <f>214.18498</f>
        <v>214.18498</v>
      </c>
      <c r="G296" s="203"/>
      <c r="H296" s="202">
        <f>228.6945</f>
        <v>228.69450000000001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39.222499999999997</v>
      </c>
      <c r="F304" s="39">
        <f>F294+F297+F300+F303</f>
        <v>823.99023</v>
      </c>
      <c r="G304" s="40">
        <f>D304-F304</f>
        <v>1514.0097700000001</v>
      </c>
      <c r="H304" s="39">
        <f>H294+H297+H300+H303</f>
        <v>925.60708</v>
      </c>
      <c r="I304" s="26"/>
      <c r="J304" s="127"/>
    </row>
    <row r="305" spans="1:10" ht="42" customHeight="1" x14ac:dyDescent="0.3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1.27601</f>
        <v>1.2760100000000001</v>
      </c>
      <c r="F322" s="29">
        <f>1031.23141</f>
        <v>1031.2314100000001</v>
      </c>
      <c r="G322" s="238">
        <f>D322-F322</f>
        <v>-783.2314100000001</v>
      </c>
      <c r="H322" s="29">
        <f>617.94981</f>
        <v>617.94980999999996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41.86066</f>
        <v>41.860660000000003</v>
      </c>
      <c r="F323" s="29">
        <f>1748.31181</f>
        <v>1748.3118099999999</v>
      </c>
      <c r="G323" s="241">
        <f>D323-F323</f>
        <v>20299.688190000001</v>
      </c>
      <c r="H323" s="29">
        <f>2108.84194</f>
        <v>2108.8419399999998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43.136670000000002</v>
      </c>
      <c r="F324" s="39">
        <f>F323+F322</f>
        <v>2779.54322</v>
      </c>
      <c r="G324" s="39">
        <f>G323+G322</f>
        <v>19516.45678</v>
      </c>
      <c r="H324" s="39">
        <f>H323+H322</f>
        <v>2726.7917499999999</v>
      </c>
      <c r="I324" s="26"/>
      <c r="J324" s="127"/>
    </row>
    <row r="325" spans="1:10" ht="22.5" customHeight="1" x14ac:dyDescent="0.3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42&amp;R20.10.2025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2025-10-24T07:04:18Z</dcterms:modified>
</cp:coreProperties>
</file>