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083E8B36-81D5-418B-AB11-A52DE63DF67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8" i="1" l="1"/>
  <c r="G259" i="1"/>
  <c r="G132" i="1"/>
  <c r="H132" i="1" s="1"/>
  <c r="D331" i="1"/>
  <c r="H329" i="1"/>
  <c r="H327" i="1" s="1"/>
  <c r="F329" i="1"/>
  <c r="E329" i="1"/>
  <c r="H328" i="1"/>
  <c r="F328" i="1"/>
  <c r="E328" i="1"/>
  <c r="E327" i="1" s="1"/>
  <c r="F327" i="1"/>
  <c r="G327" i="1" s="1"/>
  <c r="H326" i="1"/>
  <c r="F326" i="1"/>
  <c r="E326" i="1"/>
  <c r="H325" i="1"/>
  <c r="F325" i="1"/>
  <c r="E325" i="1"/>
  <c r="E324" i="1" s="1"/>
  <c r="H324" i="1"/>
  <c r="F324" i="1"/>
  <c r="G324" i="1" s="1"/>
  <c r="H323" i="1"/>
  <c r="F323" i="1"/>
  <c r="F321" i="1" s="1"/>
  <c r="E323" i="1"/>
  <c r="H322" i="1"/>
  <c r="F322" i="1"/>
  <c r="E322" i="1"/>
  <c r="H321" i="1"/>
  <c r="H331" i="1" s="1"/>
  <c r="E321" i="1"/>
  <c r="E331" i="1" s="1"/>
  <c r="E299" i="1"/>
  <c r="I298" i="1"/>
  <c r="H298" i="1"/>
  <c r="G298" i="1"/>
  <c r="F298" i="1"/>
  <c r="I297" i="1"/>
  <c r="G297" i="1"/>
  <c r="H297" i="1" s="1"/>
  <c r="F297" i="1"/>
  <c r="I296" i="1"/>
  <c r="G296" i="1"/>
  <c r="G294" i="1" s="1"/>
  <c r="H294" i="1" s="1"/>
  <c r="F296" i="1"/>
  <c r="I295" i="1"/>
  <c r="G295" i="1"/>
  <c r="F295" i="1"/>
  <c r="I294" i="1"/>
  <c r="F294" i="1"/>
  <c r="I293" i="1"/>
  <c r="G293" i="1"/>
  <c r="H293" i="1" s="1"/>
  <c r="F293" i="1"/>
  <c r="I292" i="1"/>
  <c r="G292" i="1"/>
  <c r="H292" i="1" s="1"/>
  <c r="F292" i="1"/>
  <c r="I291" i="1"/>
  <c r="G291" i="1"/>
  <c r="G288" i="1" s="1"/>
  <c r="G299" i="1" s="1"/>
  <c r="F291" i="1"/>
  <c r="I290" i="1"/>
  <c r="G290" i="1"/>
  <c r="H290" i="1" s="1"/>
  <c r="F290" i="1"/>
  <c r="I289" i="1"/>
  <c r="G289" i="1"/>
  <c r="H289" i="1" s="1"/>
  <c r="F289" i="1"/>
  <c r="I288" i="1"/>
  <c r="I299" i="1" s="1"/>
  <c r="F288" i="1"/>
  <c r="F299" i="1" s="1"/>
  <c r="E288" i="1"/>
  <c r="D288" i="1"/>
  <c r="D299" i="1" s="1"/>
  <c r="H280" i="1"/>
  <c r="F280" i="1"/>
  <c r="D262" i="1"/>
  <c r="G262" i="1" s="1"/>
  <c r="H261" i="1"/>
  <c r="F261" i="1"/>
  <c r="E261" i="1"/>
  <c r="H260" i="1"/>
  <c r="H262" i="1" s="1"/>
  <c r="F260" i="1"/>
  <c r="G260" i="1" s="1"/>
  <c r="E260" i="1"/>
  <c r="H259" i="1"/>
  <c r="F259" i="1"/>
  <c r="E259" i="1"/>
  <c r="E262" i="1" s="1"/>
  <c r="H258" i="1"/>
  <c r="F258" i="1"/>
  <c r="F262" i="1" s="1"/>
  <c r="E258" i="1"/>
  <c r="D251" i="1"/>
  <c r="F207" i="1"/>
  <c r="D207" i="1"/>
  <c r="G207" i="1" s="1"/>
  <c r="G206" i="1"/>
  <c r="H205" i="1"/>
  <c r="G205" i="1"/>
  <c r="F205" i="1"/>
  <c r="E205" i="1"/>
  <c r="H204" i="1"/>
  <c r="H207" i="1" s="1"/>
  <c r="F204" i="1"/>
  <c r="G204" i="1" s="1"/>
  <c r="E204" i="1"/>
  <c r="E207" i="1" s="1"/>
  <c r="D184" i="1"/>
  <c r="G184" i="1" s="1"/>
  <c r="H182" i="1"/>
  <c r="G182" i="1"/>
  <c r="F182" i="1"/>
  <c r="E182" i="1"/>
  <c r="H181" i="1"/>
  <c r="F181" i="1"/>
  <c r="E181" i="1"/>
  <c r="H180" i="1"/>
  <c r="F180" i="1"/>
  <c r="E180" i="1"/>
  <c r="E178" i="1" s="1"/>
  <c r="H179" i="1"/>
  <c r="H178" i="1" s="1"/>
  <c r="F179" i="1"/>
  <c r="E179" i="1"/>
  <c r="F178" i="1"/>
  <c r="G178" i="1" s="1"/>
  <c r="H177" i="1"/>
  <c r="F177" i="1"/>
  <c r="G177" i="1" s="1"/>
  <c r="E177" i="1"/>
  <c r="H176" i="1"/>
  <c r="F176" i="1"/>
  <c r="E176" i="1"/>
  <c r="H175" i="1"/>
  <c r="G175" i="1"/>
  <c r="F175" i="1"/>
  <c r="F184" i="1" s="1"/>
  <c r="E175" i="1"/>
  <c r="D150" i="1"/>
  <c r="H147" i="1"/>
  <c r="H146" i="1"/>
  <c r="H145" i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H140" i="1"/>
  <c r="H139" i="1" s="1"/>
  <c r="G140" i="1"/>
  <c r="F140" i="1"/>
  <c r="I139" i="1"/>
  <c r="G139" i="1"/>
  <c r="F139" i="1"/>
  <c r="E139" i="1"/>
  <c r="I138" i="1"/>
  <c r="H138" i="1"/>
  <c r="F138" i="1"/>
  <c r="I137" i="1"/>
  <c r="G137" i="1"/>
  <c r="H137" i="1" s="1"/>
  <c r="F137" i="1"/>
  <c r="I136" i="1"/>
  <c r="H136" i="1"/>
  <c r="G136" i="1"/>
  <c r="F136" i="1"/>
  <c r="I135" i="1"/>
  <c r="G135" i="1"/>
  <c r="G134" i="1" s="1"/>
  <c r="G133" i="1" s="1"/>
  <c r="F135" i="1"/>
  <c r="I134" i="1"/>
  <c r="I133" i="1" s="1"/>
  <c r="F134" i="1"/>
  <c r="E134" i="1"/>
  <c r="F133" i="1"/>
  <c r="E133" i="1"/>
  <c r="I132" i="1"/>
  <c r="F132" i="1"/>
  <c r="H131" i="1"/>
  <c r="I130" i="1"/>
  <c r="H130" i="1"/>
  <c r="G130" i="1"/>
  <c r="F130" i="1"/>
  <c r="I129" i="1"/>
  <c r="G129" i="1"/>
  <c r="G128" i="1" s="1"/>
  <c r="F129" i="1"/>
  <c r="F128" i="1" s="1"/>
  <c r="F150" i="1" s="1"/>
  <c r="I128" i="1"/>
  <c r="E128" i="1"/>
  <c r="E150" i="1" s="1"/>
  <c r="C126" i="1"/>
  <c r="D107" i="1"/>
  <c r="H106" i="1"/>
  <c r="H105" i="1"/>
  <c r="H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I96" i="1" s="1"/>
  <c r="I95" i="1" s="1"/>
  <c r="H98" i="1"/>
  <c r="G98" i="1"/>
  <c r="F98" i="1"/>
  <c r="I97" i="1"/>
  <c r="G97" i="1"/>
  <c r="H97" i="1" s="1"/>
  <c r="F97" i="1"/>
  <c r="F96" i="1"/>
  <c r="F95" i="1" s="1"/>
  <c r="E96" i="1"/>
  <c r="E95" i="1"/>
  <c r="I94" i="1"/>
  <c r="H94" i="1"/>
  <c r="G94" i="1"/>
  <c r="F94" i="1"/>
  <c r="I93" i="1"/>
  <c r="I92" i="1" s="1"/>
  <c r="I107" i="1" s="1"/>
  <c r="G93" i="1"/>
  <c r="G92" i="1" s="1"/>
  <c r="F93" i="1"/>
  <c r="F92" i="1" s="1"/>
  <c r="F107" i="1" s="1"/>
  <c r="E92" i="1"/>
  <c r="E107" i="1" s="1"/>
  <c r="C89" i="1"/>
  <c r="H85" i="1"/>
  <c r="F85" i="1"/>
  <c r="D85" i="1"/>
  <c r="G61" i="1"/>
  <c r="G60" i="1"/>
  <c r="H55" i="1"/>
  <c r="G55" i="1"/>
  <c r="F55" i="1"/>
  <c r="E55" i="1"/>
  <c r="F32" i="1" s="1"/>
  <c r="D44" i="1"/>
  <c r="H43" i="1"/>
  <c r="H42" i="1"/>
  <c r="H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I34" i="1" s="1"/>
  <c r="G35" i="1"/>
  <c r="G34" i="1" s="1"/>
  <c r="F35" i="1"/>
  <c r="F34" i="1" s="1"/>
  <c r="E34" i="1"/>
  <c r="I33" i="1"/>
  <c r="G33" i="1"/>
  <c r="H33" i="1" s="1"/>
  <c r="F33" i="1"/>
  <c r="I32" i="1"/>
  <c r="G32" i="1"/>
  <c r="H32" i="1" s="1"/>
  <c r="I31" i="1"/>
  <c r="G31" i="1"/>
  <c r="H31" i="1" s="1"/>
  <c r="F31" i="1"/>
  <c r="I30" i="1"/>
  <c r="G30" i="1"/>
  <c r="H30" i="1" s="1"/>
  <c r="F30" i="1"/>
  <c r="I29" i="1"/>
  <c r="G29" i="1"/>
  <c r="G27" i="1" s="1"/>
  <c r="F29" i="1"/>
  <c r="I28" i="1"/>
  <c r="I27" i="1" s="1"/>
  <c r="H28" i="1"/>
  <c r="G28" i="1"/>
  <c r="F28" i="1"/>
  <c r="E27" i="1"/>
  <c r="E26" i="1" s="1"/>
  <c r="I25" i="1"/>
  <c r="I23" i="1" s="1"/>
  <c r="G25" i="1"/>
  <c r="H25" i="1" s="1"/>
  <c r="H23" i="1" s="1"/>
  <c r="F25" i="1"/>
  <c r="I24" i="1"/>
  <c r="H24" i="1"/>
  <c r="G24" i="1"/>
  <c r="F24" i="1"/>
  <c r="F23" i="1" s="1"/>
  <c r="G23" i="1"/>
  <c r="E23" i="1"/>
  <c r="E44" i="1" s="1"/>
  <c r="H16" i="1"/>
  <c r="F16" i="1"/>
  <c r="D16" i="1"/>
  <c r="G150" i="1" l="1"/>
  <c r="I26" i="1"/>
  <c r="I44" i="1" s="1"/>
  <c r="G44" i="1"/>
  <c r="H288" i="1"/>
  <c r="H299" i="1" s="1"/>
  <c r="G26" i="1"/>
  <c r="H34" i="1"/>
  <c r="F27" i="1"/>
  <c r="H184" i="1"/>
  <c r="E184" i="1"/>
  <c r="F26" i="1"/>
  <c r="F44" i="1" s="1"/>
  <c r="H96" i="1"/>
  <c r="H95" i="1" s="1"/>
  <c r="I150" i="1"/>
  <c r="G321" i="1"/>
  <c r="G331" i="1" s="1"/>
  <c r="F331" i="1"/>
  <c r="G96" i="1"/>
  <c r="G95" i="1" s="1"/>
  <c r="G107" i="1" s="1"/>
  <c r="H35" i="1"/>
  <c r="H93" i="1"/>
  <c r="H92" i="1" s="1"/>
  <c r="H129" i="1"/>
  <c r="H128" i="1" s="1"/>
  <c r="H150" i="1" s="1"/>
  <c r="H29" i="1"/>
  <c r="H27" i="1" s="1"/>
  <c r="H135" i="1"/>
  <c r="H134" i="1" s="1"/>
  <c r="H133" i="1" s="1"/>
  <c r="H291" i="1"/>
  <c r="H26" i="1" l="1"/>
  <c r="H44" i="1" s="1"/>
  <c r="H107" i="1"/>
</calcChain>
</file>

<file path=xl/sharedStrings.xml><?xml version="1.0" encoding="utf-8"?>
<sst xmlns="http://schemas.openxmlformats.org/spreadsheetml/2006/main" count="328" uniqueCount="146">
  <si>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</si>
  <si>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</si>
  <si>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</si>
  <si>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</si>
  <si>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</si>
  <si>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</si>
  <si>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</si>
  <si>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</si>
  <si>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</si>
  <si>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</si>
  <si>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</si>
  <si>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</si>
  <si>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</si>
  <si>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</si>
  <si>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</si>
  <si>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</si>
  <si>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</si>
  <si>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</si>
  <si>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</si>
  <si>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</si>
  <si>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</si>
  <si>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</si>
  <si>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</si>
  <si>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</si>
  <si>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</si>
  <si>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</si>
  <si>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</si>
  <si>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</si>
  <si>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</si>
  <si>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</si>
  <si>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</si>
  <si>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</si>
  <si>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</si>
  <si>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</si>
  <si>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</si>
  <si>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</si>
  <si>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</si>
  <si>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</si>
  <si>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</si>
  <si>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</si>
  <si>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</si>
  <si>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</si>
  <si>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</si>
  <si>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</si>
  <si>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</si>
  <si>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</si>
  <si>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</si>
  <si>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</si>
  <si>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</si>
  <si>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</si>
  <si>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</si>
  <si>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</si>
  <si>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</si>
  <si>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</si>
  <si>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</si>
  <si>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</si>
  <si>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</si>
  <si>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</si>
  <si>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</si>
  <si>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</si>
  <si>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</si>
  <si>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</si>
  <si>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</si>
  <si>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</si>
  <si>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</si>
  <si>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</si>
  <si>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</si>
  <si>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</si>
  <si>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</si>
  <si>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</si>
  <si>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</si>
  <si>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</si>
  <si>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</si>
  <si>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</si>
  <si>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344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</si>
  <si>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</si>
  <si>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</si>
  <si>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</si>
  <si>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</si>
  <si>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</si>
  <si>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</si>
  <si>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</si>
  <si>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</si>
  <si>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</si>
  <si>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</si>
  <si>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</si>
  <si>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</si>
  <si>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</si>
  <si>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</si>
  <si>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</si>
  <si>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</si>
  <si>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</si>
  <si>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</si>
  <si>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</si>
  <si>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</si>
  <si>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</si>
  <si>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</si>
  <si>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</si>
  <si>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</si>
  <si>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</si>
  <si>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</si>
  <si>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</si>
  <si>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</si>
  <si>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</si>
  <si>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</si>
  <si>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</si>
  <si>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</si>
  <si>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</si>
  <si>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</si>
  <si>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</si>
  <si>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</si>
  <si>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</si>
  <si>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</si>
  <si>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</si>
  <si>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</si>
  <si>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</si>
  <si>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</si>
  <si>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</si>
  <si>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</si>
  <si>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</si>
  <si>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</si>
  <si>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</si>
  <si>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</si>
  <si>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</si>
  <si>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</si>
  <si>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</si>
  <si>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</si>
  <si>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</si>
  <si>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</si>
  <si>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</si>
  <si>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</si>
  <si>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</si>
  <si>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</si>
  <si>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</si>
  <si>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</si>
  <si>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</si>
  <si>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</si>
  <si>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</si>
  <si>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UKE 2</t>
  </si>
  <si>
    <t>FANGST T.O.M UKE 2</t>
  </si>
  <si>
    <t>RESTKVOTER UKE 2</t>
  </si>
  <si>
    <t>FANGST T.O.M UKE 2 2022</t>
  </si>
  <si>
    <r>
      <t xml:space="preserve">3 </t>
    </r>
    <r>
      <rPr>
        <sz val="9"/>
        <color indexed="8"/>
        <rFont val="Calibri"/>
        <family val="2"/>
      </rPr>
      <t>Registrert rekreasjonsfiske utgjør 14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</si>
  <si>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1  tonn, men det legges til grunn at hele avsetningen tas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</si>
  <si>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8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</si>
  <si>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51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</si>
</sst>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0" fontId="1" fillId="0" borderId="4" xfId="0" applyFont="1" applyBorder="1"/>
    <xf numFmtId="1" fontId="12" fillId="0" borderId="38" xfId="0" applyNumberFormat="1" applyFont="1" applyBorder="1" applyAlignment="1">
      <alignment vertical="center"/>
    </xf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4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="70" zoomScaleNormal="85" zoomScaleSheetLayoutView="100" zoomScalePageLayoutView="70" workbookViewId="0">
      <selection activeCell="J22" sqref="J22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8" t="s">
        <v>0</v>
      </c>
      <c r="C2" s="299"/>
      <c r="D2" s="299"/>
      <c r="E2" s="299"/>
      <c r="F2" s="299"/>
      <c r="G2" s="299"/>
      <c r="H2" s="299"/>
      <c r="I2" s="299"/>
      <c r="J2" s="300"/>
    </row>
    <row r="3" spans="1:10" ht="14.85" customHeight="1" x14ac:dyDescent="0.25">
      <c r="A3" s="1"/>
      <c r="B3" s="1"/>
      <c r="C3" s="1" t="s">
        <v>122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122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122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122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122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1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1"/>
      <c r="C9" s="302"/>
      <c r="D9" s="302"/>
      <c r="E9" s="302"/>
      <c r="F9" s="302"/>
      <c r="G9" s="302"/>
      <c r="H9" s="302"/>
      <c r="I9" s="302"/>
      <c r="J9" s="303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5" t="s">
        <v>2</v>
      </c>
      <c r="D11" s="296"/>
      <c r="E11" s="295" t="s">
        <v>3</v>
      </c>
      <c r="F11" s="296"/>
      <c r="G11" s="295" t="s">
        <v>4</v>
      </c>
      <c r="H11" s="296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5</v>
      </c>
      <c r="F12" s="116">
        <v>77193</v>
      </c>
      <c r="G12" s="117" t="s">
        <v>6</v>
      </c>
      <c r="H12" s="116">
        <v>21013</v>
      </c>
      <c r="I12" s="181"/>
      <c r="J12" s="242"/>
    </row>
    <row r="13" spans="1:10" ht="15.75" customHeight="1" x14ac:dyDescent="0.25">
      <c r="A13" s="1"/>
      <c r="B13" s="252"/>
      <c r="C13" s="117" t="s">
        <v>7</v>
      </c>
      <c r="D13" s="119">
        <v>260782</v>
      </c>
      <c r="E13" s="117" t="s">
        <v>8</v>
      </c>
      <c r="F13" s="119">
        <v>164035</v>
      </c>
      <c r="G13" s="117" t="s">
        <v>9</v>
      </c>
      <c r="H13" s="119">
        <v>117222</v>
      </c>
      <c r="I13" s="181"/>
      <c r="J13" s="242"/>
    </row>
    <row r="14" spans="1:10" ht="14.25" customHeight="1" x14ac:dyDescent="0.25">
      <c r="A14" s="1"/>
      <c r="B14" s="252"/>
      <c r="C14" s="117" t="s">
        <v>10</v>
      </c>
      <c r="D14" s="119">
        <v>248782</v>
      </c>
      <c r="E14" s="117" t="s">
        <v>11</v>
      </c>
      <c r="F14" s="119">
        <v>19554</v>
      </c>
      <c r="G14" s="117" t="s">
        <v>12</v>
      </c>
      <c r="H14" s="119">
        <v>14760</v>
      </c>
      <c r="I14" s="181"/>
      <c r="J14" s="242"/>
    </row>
    <row r="15" spans="1:10" ht="15.75" customHeight="1" x14ac:dyDescent="0.25">
      <c r="A15" s="1"/>
      <c r="B15" s="252"/>
      <c r="C15" s="117" t="s">
        <v>77</v>
      </c>
      <c r="D15" s="119">
        <v>78220</v>
      </c>
      <c r="E15" s="149"/>
      <c r="F15" s="169"/>
      <c r="G15" s="168" t="s">
        <v>13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14</v>
      </c>
      <c r="D16" s="192">
        <f>SUM(D13:D15)</f>
        <v>587784</v>
      </c>
      <c r="E16" s="180" t="s">
        <v>15</v>
      </c>
      <c r="F16" s="192">
        <f>SUM(F12:F15)</f>
        <v>260782</v>
      </c>
      <c r="G16" s="180" t="s">
        <v>8</v>
      </c>
      <c r="H16" s="192">
        <f>SUM(H12:H15)</f>
        <v>164035</v>
      </c>
      <c r="J16" s="242"/>
    </row>
    <row r="17" spans="1:10" ht="15" customHeight="1" x14ac:dyDescent="0.25">
      <c r="A17" s="101"/>
      <c r="B17" s="24"/>
      <c r="C17" s="101"/>
      <c r="D17" s="101"/>
      <c r="E17" s="101"/>
      <c r="F17" s="101"/>
      <c r="G17" s="101"/>
      <c r="H17" s="101"/>
      <c r="I17" s="101"/>
      <c r="J17" s="156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16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17</v>
      </c>
      <c r="D22" s="113" t="s">
        <v>18</v>
      </c>
      <c r="E22" s="68" t="s">
        <v>19</v>
      </c>
      <c r="F22" s="68" t="s">
        <v>138</v>
      </c>
      <c r="G22" s="68" t="s">
        <v>139</v>
      </c>
      <c r="H22" s="68" t="s">
        <v>140</v>
      </c>
      <c r="I22" s="68" t="s">
        <v>141</v>
      </c>
      <c r="J22" s="278"/>
    </row>
    <row r="23" spans="1:10" ht="14.1" customHeight="1" x14ac:dyDescent="0.25">
      <c r="A23" s="1"/>
      <c r="B23" s="252"/>
      <c r="C23" s="16" t="s">
        <v>20</v>
      </c>
      <c r="D23" s="28">
        <v>77193</v>
      </c>
      <c r="E23" s="28">
        <f t="shared" ref="E23:I23" si="0">E25+E24</f>
        <v>77193</v>
      </c>
      <c r="F23" s="28">
        <f t="shared" si="0"/>
        <v>441.80099999999999</v>
      </c>
      <c r="G23" s="28">
        <f t="shared" si="0"/>
        <v>1344.7140000000002</v>
      </c>
      <c r="H23" s="11">
        <f t="shared" si="0"/>
        <v>75848.285999999993</v>
      </c>
      <c r="I23" s="11">
        <f t="shared" si="0"/>
        <v>2079.0487699999999</v>
      </c>
      <c r="J23" s="242"/>
    </row>
    <row r="24" spans="1:10" ht="14.1" customHeight="1" x14ac:dyDescent="0.25">
      <c r="A24" s="1"/>
      <c r="B24" s="252"/>
      <c r="C24" s="47" t="s">
        <v>21</v>
      </c>
      <c r="D24" s="48">
        <v>76443</v>
      </c>
      <c r="E24" s="48">
        <v>76443</v>
      </c>
      <c r="F24" s="23">
        <f>441.801</f>
        <v>441.80099999999999</v>
      </c>
      <c r="G24" s="23">
        <f>1316.1735</f>
        <v>1316.1735000000001</v>
      </c>
      <c r="H24" s="23">
        <f>E24-G24</f>
        <v>75126.826499999996</v>
      </c>
      <c r="I24" s="23">
        <f>2079.04877</f>
        <v>2079.0487699999999</v>
      </c>
      <c r="J24" s="242"/>
    </row>
    <row r="25" spans="1:10" ht="14.1" customHeight="1" x14ac:dyDescent="0.25">
      <c r="A25" s="1"/>
      <c r="B25" s="252"/>
      <c r="C25" s="50" t="s">
        <v>22</v>
      </c>
      <c r="D25" s="51">
        <v>750</v>
      </c>
      <c r="E25" s="51">
        <v>750</v>
      </c>
      <c r="F25" s="173">
        <f>0</f>
        <v>0</v>
      </c>
      <c r="G25" s="23">
        <f>28.5405</f>
        <v>28.540500000000002</v>
      </c>
      <c r="H25" s="23">
        <f>E25-G25</f>
        <v>721.45950000000005</v>
      </c>
      <c r="I25" s="23">
        <f>0</f>
        <v>0</v>
      </c>
      <c r="J25" s="242"/>
    </row>
    <row r="26" spans="1:10" ht="14.1" customHeight="1" x14ac:dyDescent="0.25">
      <c r="A26" s="1"/>
      <c r="B26" s="252"/>
      <c r="C26" s="16" t="s">
        <v>23</v>
      </c>
      <c r="D26" s="28">
        <v>169338</v>
      </c>
      <c r="E26" s="28">
        <f t="shared" ref="E26:I26" si="1">E34+E33+E27</f>
        <v>169338</v>
      </c>
      <c r="F26" s="28">
        <f t="shared" si="1"/>
        <v>1770.2378199999998</v>
      </c>
      <c r="G26" s="11">
        <f t="shared" si="1"/>
        <v>3284.0607300000001</v>
      </c>
      <c r="H26" s="11">
        <f t="shared" si="1"/>
        <v>166053.93927</v>
      </c>
      <c r="I26" s="11">
        <f t="shared" si="1"/>
        <v>3262.6953399999998</v>
      </c>
      <c r="J26" s="242"/>
    </row>
    <row r="27" spans="1:10" ht="15" customHeight="1" x14ac:dyDescent="0.25">
      <c r="A27" s="53"/>
      <c r="B27" s="55"/>
      <c r="C27" s="59" t="s">
        <v>24</v>
      </c>
      <c r="D27" s="60">
        <v>132365</v>
      </c>
      <c r="E27" s="60">
        <f t="shared" ref="E27:I27" si="2">E28+E29+E30+E31+E32</f>
        <v>132365</v>
      </c>
      <c r="F27" s="134">
        <f>F28+F29+F30+F31+F32</f>
        <v>1508.5554299999999</v>
      </c>
      <c r="G27" s="134">
        <f t="shared" si="2"/>
        <v>2783.1458200000002</v>
      </c>
      <c r="H27" s="134">
        <f t="shared" si="2"/>
        <v>129581.85417999999</v>
      </c>
      <c r="I27" s="134">
        <f t="shared" si="2"/>
        <v>2520.9651899999999</v>
      </c>
      <c r="J27" s="242"/>
    </row>
    <row r="28" spans="1:10" ht="14.1" customHeight="1" x14ac:dyDescent="0.25">
      <c r="A28" s="199"/>
      <c r="B28" s="184"/>
      <c r="C28" s="64" t="s">
        <v>25</v>
      </c>
      <c r="D28" s="65">
        <v>31737</v>
      </c>
      <c r="E28" s="65">
        <v>31737</v>
      </c>
      <c r="F28" s="205">
        <f>508.12167</f>
        <v>508.12166999999999</v>
      </c>
      <c r="G28" s="129">
        <f>859.80358 - F57</f>
        <v>859.80358000000001</v>
      </c>
      <c r="H28" s="129">
        <f t="shared" ref="H28:H40" si="3">E28-G28</f>
        <v>30877.19642</v>
      </c>
      <c r="I28" s="129">
        <f>675.82963 - H57</f>
        <v>675.82962999999995</v>
      </c>
      <c r="J28" s="67"/>
    </row>
    <row r="29" spans="1:10" ht="14.1" customHeight="1" x14ac:dyDescent="0.25">
      <c r="A29" s="199"/>
      <c r="B29" s="184"/>
      <c r="C29" s="64" t="s">
        <v>26</v>
      </c>
      <c r="D29" s="65">
        <v>35412</v>
      </c>
      <c r="E29" s="65">
        <v>35412</v>
      </c>
      <c r="F29" s="129">
        <f>568.69822</f>
        <v>568.69821999999999</v>
      </c>
      <c r="G29" s="129">
        <f>1171.51331 - F58</f>
        <v>1171.51331</v>
      </c>
      <c r="H29" s="129">
        <f t="shared" si="3"/>
        <v>34240.486689999998</v>
      </c>
      <c r="I29" s="129">
        <f>1094.48523 - H58</f>
        <v>1094.48523</v>
      </c>
      <c r="J29" s="67"/>
    </row>
    <row r="30" spans="1:10" ht="14.1" customHeight="1" x14ac:dyDescent="0.25">
      <c r="A30" s="199"/>
      <c r="B30" s="184"/>
      <c r="C30" s="64" t="s">
        <v>27</v>
      </c>
      <c r="D30" s="65">
        <v>32013</v>
      </c>
      <c r="E30" s="65">
        <v>32013</v>
      </c>
      <c r="F30" s="129">
        <f>228.2166</f>
        <v>228.2166</v>
      </c>
      <c r="G30" s="129">
        <f>470.93093 - F59</f>
        <v>470.93092999999999</v>
      </c>
      <c r="H30" s="129">
        <f t="shared" si="3"/>
        <v>31542.069070000001</v>
      </c>
      <c r="I30" s="129">
        <f>514.80838 - H59</f>
        <v>514.80838000000006</v>
      </c>
      <c r="J30" s="67"/>
    </row>
    <row r="31" spans="1:10" ht="14.1" customHeight="1" x14ac:dyDescent="0.25">
      <c r="A31" s="199"/>
      <c r="B31" s="184"/>
      <c r="C31" s="64" t="s">
        <v>28</v>
      </c>
      <c r="D31" s="65">
        <v>23363</v>
      </c>
      <c r="E31" s="65">
        <v>23363</v>
      </c>
      <c r="F31" s="129">
        <f>203.51894</f>
        <v>203.51893999999999</v>
      </c>
      <c r="G31" s="129">
        <f>280.898 - F60</f>
        <v>280.89800000000002</v>
      </c>
      <c r="H31" s="129">
        <f t="shared" si="3"/>
        <v>23082.101999999999</v>
      </c>
      <c r="I31" s="129">
        <f>235.84195 - H60</f>
        <v>235.84195</v>
      </c>
      <c r="J31" s="67"/>
    </row>
    <row r="32" spans="1:10" ht="14.1" customHeight="1" x14ac:dyDescent="0.25">
      <c r="A32" s="199"/>
      <c r="B32" s="184"/>
      <c r="C32" s="64" t="s">
        <v>29</v>
      </c>
      <c r="D32" s="65">
        <v>9840</v>
      </c>
      <c r="E32" s="65">
        <v>9840</v>
      </c>
      <c r="F32" s="129">
        <f>E55</f>
        <v>0</v>
      </c>
      <c r="G32" s="129">
        <f>F55</f>
        <v>0</v>
      </c>
      <c r="H32" s="129">
        <f t="shared" si="3"/>
        <v>9840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30</v>
      </c>
      <c r="D33" s="60">
        <v>21013</v>
      </c>
      <c r="E33" s="60">
        <v>21013</v>
      </c>
      <c r="F33" s="134">
        <f>75.37899</f>
        <v>75.378990000000002</v>
      </c>
      <c r="G33" s="134">
        <f>160.80837</f>
        <v>160.80837</v>
      </c>
      <c r="H33" s="134">
        <f t="shared" si="3"/>
        <v>20852.191630000001</v>
      </c>
      <c r="I33" s="134">
        <f>577.35003</f>
        <v>577.35002999999995</v>
      </c>
      <c r="J33" s="67"/>
    </row>
    <row r="34" spans="1:13" ht="14.1" customHeight="1" x14ac:dyDescent="0.25">
      <c r="A34" s="69"/>
      <c r="B34" s="55"/>
      <c r="C34" s="59" t="s">
        <v>31</v>
      </c>
      <c r="D34" s="60">
        <v>15960</v>
      </c>
      <c r="E34" s="60">
        <f>E35+E36</f>
        <v>15960</v>
      </c>
      <c r="F34" s="134">
        <f>F35+F36</f>
        <v>186.30340000000001</v>
      </c>
      <c r="G34" s="134">
        <f>G35+G36</f>
        <v>340.10654</v>
      </c>
      <c r="H34" s="134">
        <f t="shared" si="3"/>
        <v>15619.893459999999</v>
      </c>
      <c r="I34" s="134">
        <f>I35+I36</f>
        <v>164.38012000000001</v>
      </c>
      <c r="J34" s="67"/>
    </row>
    <row r="35" spans="1:13" ht="14.1" customHeight="1" x14ac:dyDescent="0.25">
      <c r="A35" s="199"/>
      <c r="B35" s="184"/>
      <c r="C35" s="64" t="s">
        <v>32</v>
      </c>
      <c r="D35" s="65">
        <v>14760</v>
      </c>
      <c r="E35" s="65">
        <v>14760</v>
      </c>
      <c r="F35" s="129">
        <f>186.3034</f>
        <v>186.30340000000001</v>
      </c>
      <c r="G35" s="134">
        <f>340.10654 - F61 - F62</f>
        <v>340.10654</v>
      </c>
      <c r="H35" s="129">
        <f t="shared" si="3"/>
        <v>14419.893459999999</v>
      </c>
      <c r="I35" s="129">
        <f>164.38012 - H61 - H62</f>
        <v>164.38012000000001</v>
      </c>
      <c r="J35" s="67"/>
    </row>
    <row r="36" spans="1:13" ht="14.1" customHeight="1" x14ac:dyDescent="0.25">
      <c r="A36" s="199"/>
      <c r="B36" s="184"/>
      <c r="C36" s="71" t="s">
        <v>33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34</v>
      </c>
      <c r="D37" s="146">
        <v>3000</v>
      </c>
      <c r="E37" s="146">
        <v>3000</v>
      </c>
      <c r="F37" s="141">
        <f>0</f>
        <v>0</v>
      </c>
      <c r="G37" s="141">
        <f>0</f>
        <v>0</v>
      </c>
      <c r="H37" s="141">
        <f t="shared" si="3"/>
        <v>3000</v>
      </c>
      <c r="I37" s="141">
        <f>0</f>
        <v>0</v>
      </c>
      <c r="J37" s="242"/>
    </row>
    <row r="38" spans="1:13" ht="14.1" customHeight="1" x14ac:dyDescent="0.25">
      <c r="A38" s="1"/>
      <c r="B38" s="252"/>
      <c r="C38" s="75" t="s">
        <v>35</v>
      </c>
      <c r="D38" s="146">
        <v>851</v>
      </c>
      <c r="E38" s="146">
        <v>851</v>
      </c>
      <c r="F38" s="100">
        <f>0</f>
        <v>0</v>
      </c>
      <c r="G38" s="100">
        <f>0</f>
        <v>0</v>
      </c>
      <c r="H38" s="100">
        <f t="shared" si="3"/>
        <v>851</v>
      </c>
      <c r="I38" s="100">
        <f>0.22275</f>
        <v>0.22275</v>
      </c>
      <c r="J38" s="242"/>
    </row>
    <row r="39" spans="1:13" ht="17.25" customHeight="1" x14ac:dyDescent="0.25">
      <c r="A39" s="1"/>
      <c r="B39" s="252"/>
      <c r="C39" s="75" t="s">
        <v>36</v>
      </c>
      <c r="D39" s="146">
        <v>3000</v>
      </c>
      <c r="E39" s="146">
        <v>3000</v>
      </c>
      <c r="F39" s="100">
        <f>E61</f>
        <v>0</v>
      </c>
      <c r="G39" s="100">
        <f>F61</f>
        <v>0</v>
      </c>
      <c r="H39" s="100">
        <f t="shared" si="3"/>
        <v>3000</v>
      </c>
      <c r="I39" s="100">
        <f>H61</f>
        <v>0</v>
      </c>
      <c r="J39" s="242"/>
    </row>
    <row r="40" spans="1:13" ht="17.25" customHeight="1" x14ac:dyDescent="0.25">
      <c r="A40" s="1"/>
      <c r="B40" s="252"/>
      <c r="C40" s="75" t="s">
        <v>37</v>
      </c>
      <c r="D40" s="146">
        <v>7000</v>
      </c>
      <c r="E40" s="146">
        <v>7000</v>
      </c>
      <c r="F40" s="100">
        <f>8.75444</f>
        <v>8.7544400000000007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39</v>
      </c>
      <c r="D41" s="146">
        <v>300</v>
      </c>
      <c r="E41" s="146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40</v>
      </c>
      <c r="D42" s="146">
        <v>100</v>
      </c>
      <c r="E42" s="146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41</v>
      </c>
      <c r="D43" s="146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42</v>
      </c>
      <c r="D44" s="78">
        <f t="shared" ref="D44:I44" si="4">D23+D26+D37+D38+D39+D40+D41+D42+D43</f>
        <v>260782</v>
      </c>
      <c r="E44" s="78">
        <f t="shared" si="4"/>
        <v>260782</v>
      </c>
      <c r="F44" s="78">
        <f t="shared" si="4"/>
        <v>2220.7962600000001</v>
      </c>
      <c r="G44" s="78">
        <f t="shared" si="4"/>
        <v>11708.335730000032</v>
      </c>
      <c r="H44" s="78">
        <f t="shared" si="4"/>
        <v>249073.66426999998</v>
      </c>
      <c r="I44" s="78">
        <f t="shared" si="4"/>
        <v>12462.905289999981</v>
      </c>
      <c r="J44" s="242"/>
    </row>
    <row r="45" spans="1:13" ht="14.1" customHeight="1" x14ac:dyDescent="0.25">
      <c r="A45" s="101"/>
      <c r="B45" s="24"/>
      <c r="C45" s="80" t="s">
        <v>131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43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142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130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44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1" t="s">
        <v>45</v>
      </c>
      <c r="D52" s="291"/>
      <c r="E52" s="291"/>
      <c r="F52" s="291"/>
      <c r="G52" s="291"/>
      <c r="H52" s="291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17</v>
      </c>
      <c r="D54" s="68" t="s">
        <v>46</v>
      </c>
      <c r="E54" s="68" t="s">
        <v>138</v>
      </c>
      <c r="F54" s="68" t="s">
        <v>139</v>
      </c>
      <c r="G54" s="68" t="s">
        <v>140</v>
      </c>
      <c r="H54" s="68" t="s">
        <v>141</v>
      </c>
      <c r="I54" s="256"/>
      <c r="J54" s="242"/>
    </row>
    <row r="55" spans="1:10" ht="14.1" customHeight="1" x14ac:dyDescent="0.25">
      <c r="A55" s="101"/>
      <c r="B55" s="24"/>
      <c r="C55" s="16" t="s">
        <v>47</v>
      </c>
      <c r="D55" s="292">
        <v>9840</v>
      </c>
      <c r="E55" s="11">
        <f>E59+E58+E57+E56</f>
        <v>0</v>
      </c>
      <c r="F55" s="11">
        <f>F59+F58+F57+F56</f>
        <v>0</v>
      </c>
      <c r="G55" s="292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25</v>
      </c>
      <c r="D56" s="293"/>
      <c r="E56" s="129"/>
      <c r="F56" s="129"/>
      <c r="G56" s="293"/>
      <c r="H56" s="129"/>
      <c r="I56" s="256"/>
      <c r="J56" s="242"/>
    </row>
    <row r="57" spans="1:10" ht="14.1" customHeight="1" x14ac:dyDescent="0.25">
      <c r="A57" s="101"/>
      <c r="B57" s="24"/>
      <c r="C57" s="64" t="s">
        <v>26</v>
      </c>
      <c r="D57" s="293"/>
      <c r="E57" s="129"/>
      <c r="F57" s="129"/>
      <c r="G57" s="293"/>
      <c r="H57" s="129"/>
      <c r="I57" s="256"/>
      <c r="J57" s="242"/>
    </row>
    <row r="58" spans="1:10" ht="14.1" customHeight="1" x14ac:dyDescent="0.25">
      <c r="A58" s="101"/>
      <c r="B58" s="24"/>
      <c r="C58" s="64" t="s">
        <v>27</v>
      </c>
      <c r="D58" s="293"/>
      <c r="E58" s="129"/>
      <c r="F58" s="129"/>
      <c r="G58" s="293"/>
      <c r="H58" s="129"/>
      <c r="I58" s="256"/>
      <c r="J58" s="242"/>
    </row>
    <row r="59" spans="1:10" ht="14.1" customHeight="1" x14ac:dyDescent="0.25">
      <c r="A59" s="101"/>
      <c r="B59" s="24"/>
      <c r="C59" s="89" t="s">
        <v>28</v>
      </c>
      <c r="D59" s="294"/>
      <c r="E59" s="194"/>
      <c r="F59" s="194"/>
      <c r="G59" s="294"/>
      <c r="H59" s="194"/>
      <c r="I59" s="256"/>
      <c r="J59" s="242"/>
    </row>
    <row r="60" spans="1:10" ht="14.1" customHeight="1" x14ac:dyDescent="0.25">
      <c r="A60" s="101"/>
      <c r="B60" s="24"/>
      <c r="C60" s="91" t="s">
        <v>48</v>
      </c>
      <c r="D60" s="97">
        <v>1200</v>
      </c>
      <c r="E60" s="97"/>
      <c r="F60" s="97"/>
      <c r="G60" s="97">
        <f>D60-F60</f>
        <v>1200</v>
      </c>
      <c r="H60" s="97"/>
      <c r="I60" s="256"/>
      <c r="J60" s="242"/>
    </row>
    <row r="61" spans="1:10" ht="14.1" customHeight="1" x14ac:dyDescent="0.25">
      <c r="A61" s="101"/>
      <c r="B61" s="24"/>
      <c r="C61" s="144" t="s">
        <v>49</v>
      </c>
      <c r="D61" s="141">
        <v>3000</v>
      </c>
      <c r="E61" s="141"/>
      <c r="F61" s="141"/>
      <c r="G61" s="141">
        <f>D61-F61</f>
        <v>3000</v>
      </c>
      <c r="H61" s="141"/>
      <c r="I61" s="256"/>
      <c r="J61" s="242"/>
    </row>
    <row r="62" spans="1:10" ht="14.1" customHeight="1" x14ac:dyDescent="0.25">
      <c r="A62" s="101"/>
      <c r="B62" s="24"/>
      <c r="C62" s="80" t="s">
        <v>127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0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122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50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7"/>
      <c r="D80" s="157"/>
      <c r="E80" s="157"/>
      <c r="F80" s="157"/>
      <c r="G80" s="157"/>
      <c r="H80" s="157"/>
      <c r="I80" s="157"/>
      <c r="J80" s="164"/>
    </row>
    <row r="81" spans="1:10" ht="16.5" customHeight="1" x14ac:dyDescent="0.25">
      <c r="B81" s="54"/>
      <c r="C81" s="295" t="s">
        <v>2</v>
      </c>
      <c r="D81" s="296"/>
      <c r="E81" s="295" t="s">
        <v>3</v>
      </c>
      <c r="F81" s="297"/>
      <c r="G81" s="295" t="s">
        <v>4</v>
      </c>
      <c r="H81" s="296"/>
      <c r="I81" s="181"/>
      <c r="J81" s="242"/>
    </row>
    <row r="82" spans="1:10" ht="15" customHeight="1" x14ac:dyDescent="0.25">
      <c r="B82" s="252"/>
      <c r="C82" s="117" t="s">
        <v>7</v>
      </c>
      <c r="D82" s="119">
        <v>84177</v>
      </c>
      <c r="E82" s="257" t="s">
        <v>5</v>
      </c>
      <c r="F82" s="116">
        <v>31131</v>
      </c>
      <c r="G82" s="193" t="s">
        <v>6</v>
      </c>
      <c r="H82" s="116">
        <v>9143</v>
      </c>
      <c r="I82" s="181"/>
      <c r="J82" s="242"/>
    </row>
    <row r="83" spans="1:10" ht="15" customHeight="1" x14ac:dyDescent="0.25">
      <c r="B83" s="252"/>
      <c r="C83" s="117" t="s">
        <v>10</v>
      </c>
      <c r="D83" s="119">
        <v>75177</v>
      </c>
      <c r="E83" s="246" t="s">
        <v>8</v>
      </c>
      <c r="F83" s="119">
        <v>50792</v>
      </c>
      <c r="G83" s="193" t="s">
        <v>9</v>
      </c>
      <c r="H83" s="119">
        <v>37586</v>
      </c>
      <c r="I83" s="181"/>
      <c r="J83" s="242"/>
    </row>
    <row r="84" spans="1:10" ht="14.1" customHeight="1" x14ac:dyDescent="0.25">
      <c r="B84" s="252"/>
      <c r="C84" s="117" t="s">
        <v>77</v>
      </c>
      <c r="D84" s="119">
        <v>10713</v>
      </c>
      <c r="E84" s="117" t="s">
        <v>11</v>
      </c>
      <c r="F84" s="119">
        <v>2254</v>
      </c>
      <c r="G84" s="193" t="s">
        <v>12</v>
      </c>
      <c r="H84" s="119">
        <v>4063</v>
      </c>
      <c r="I84" s="181"/>
      <c r="J84" s="242"/>
    </row>
    <row r="85" spans="1:10" ht="12" customHeight="1" x14ac:dyDescent="0.25">
      <c r="B85" s="252"/>
      <c r="C85" s="180" t="s">
        <v>51</v>
      </c>
      <c r="D85" s="192">
        <f>SUM(D82:D84)</f>
        <v>170067</v>
      </c>
      <c r="E85" s="180" t="s">
        <v>15</v>
      </c>
      <c r="F85" s="192">
        <f>SUM(F82:F84)</f>
        <v>84177</v>
      </c>
      <c r="G85" s="180" t="s">
        <v>8</v>
      </c>
      <c r="H85" s="192">
        <f>SUM(H82:H84)</f>
        <v>50792</v>
      </c>
      <c r="I85" s="181"/>
      <c r="J85" s="242"/>
    </row>
    <row r="86" spans="1:10" ht="14.25" customHeight="1" x14ac:dyDescent="0.25">
      <c r="A86" s="1"/>
      <c r="B86" s="252"/>
      <c r="C86" s="101"/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17</v>
      </c>
      <c r="D91" s="113" t="s">
        <v>18</v>
      </c>
      <c r="E91" s="15" t="s">
        <v>52</v>
      </c>
      <c r="F91" s="15" t="s">
        <v>138</v>
      </c>
      <c r="G91" s="15" t="s">
        <v>139</v>
      </c>
      <c r="H91" s="15" t="s">
        <v>140</v>
      </c>
      <c r="I91" s="15" t="s">
        <v>141</v>
      </c>
      <c r="J91" s="122"/>
    </row>
    <row r="92" spans="1:10" ht="14.1" customHeight="1" x14ac:dyDescent="0.25">
      <c r="A92" s="1"/>
      <c r="B92" s="252"/>
      <c r="C92" s="32" t="s">
        <v>20</v>
      </c>
      <c r="D92" s="28">
        <v>31131</v>
      </c>
      <c r="E92" s="28">
        <f t="shared" ref="E92:I92" si="5">E94+E93</f>
        <v>31131</v>
      </c>
      <c r="F92" s="11">
        <f t="shared" si="5"/>
        <v>88.372200000000007</v>
      </c>
      <c r="G92" s="11">
        <f t="shared" si="5"/>
        <v>271.92619999999999</v>
      </c>
      <c r="H92" s="11">
        <f t="shared" si="5"/>
        <v>30859.073799999998</v>
      </c>
      <c r="I92" s="11">
        <f t="shared" si="5"/>
        <v>198.80725999999999</v>
      </c>
      <c r="J92" s="242"/>
    </row>
    <row r="93" spans="1:10" ht="15" customHeight="1" x14ac:dyDescent="0.25">
      <c r="A93" s="1"/>
      <c r="B93" s="252"/>
      <c r="C93" s="47" t="s">
        <v>21</v>
      </c>
      <c r="D93" s="48">
        <v>30381</v>
      </c>
      <c r="E93" s="48">
        <v>30381</v>
      </c>
      <c r="F93" s="23">
        <f>88.3722</f>
        <v>88.372200000000007</v>
      </c>
      <c r="G93" s="23">
        <f>261.0272</f>
        <v>261.02719999999999</v>
      </c>
      <c r="H93" s="23">
        <f>E93-G93</f>
        <v>30119.9728</v>
      </c>
      <c r="I93" s="23">
        <f>193.40326</f>
        <v>193.40325999999999</v>
      </c>
      <c r="J93" s="242"/>
    </row>
    <row r="94" spans="1:10" ht="14.1" customHeight="1" x14ac:dyDescent="0.25">
      <c r="A94" s="1"/>
      <c r="B94" s="252"/>
      <c r="C94" s="66" t="s">
        <v>22</v>
      </c>
      <c r="D94" s="51">
        <v>750</v>
      </c>
      <c r="E94" s="51">
        <v>750</v>
      </c>
      <c r="F94" s="52">
        <f>0</f>
        <v>0</v>
      </c>
      <c r="G94" s="52">
        <f>10.899</f>
        <v>10.898999999999999</v>
      </c>
      <c r="H94" s="52">
        <f>E94-G94</f>
        <v>739.101</v>
      </c>
      <c r="I94" s="52">
        <f>5.404</f>
        <v>5.4039999999999999</v>
      </c>
      <c r="J94" s="242"/>
    </row>
    <row r="95" spans="1:10" ht="15.75" customHeight="1" x14ac:dyDescent="0.25">
      <c r="A95" s="1"/>
      <c r="B95" s="54"/>
      <c r="C95" s="16" t="s">
        <v>23</v>
      </c>
      <c r="D95" s="28">
        <v>52376</v>
      </c>
      <c r="E95" s="28">
        <f t="shared" ref="E95:I95" si="6">E96+E101+E102</f>
        <v>52376</v>
      </c>
      <c r="F95" s="11">
        <f t="shared" si="6"/>
        <v>476.03252000000003</v>
      </c>
      <c r="G95" s="11">
        <f t="shared" si="6"/>
        <v>844.87580000000003</v>
      </c>
      <c r="H95" s="11">
        <f t="shared" si="6"/>
        <v>51531.124200000006</v>
      </c>
      <c r="I95" s="11">
        <f t="shared" si="6"/>
        <v>603.37093000000004</v>
      </c>
      <c r="J95" s="242"/>
    </row>
    <row r="96" spans="1:10" ht="14.1" customHeight="1" x14ac:dyDescent="0.25">
      <c r="A96" s="1"/>
      <c r="B96" s="55"/>
      <c r="C96" s="59" t="s">
        <v>24</v>
      </c>
      <c r="D96" s="60">
        <v>39170</v>
      </c>
      <c r="E96" s="60">
        <f t="shared" ref="E96:I96" si="7">E97+E98+E99+E100</f>
        <v>39170</v>
      </c>
      <c r="F96" s="134">
        <f t="shared" si="7"/>
        <v>410.67865</v>
      </c>
      <c r="G96" s="134">
        <f t="shared" si="7"/>
        <v>709.82420999999999</v>
      </c>
      <c r="H96" s="134">
        <f t="shared" si="7"/>
        <v>38460.175790000001</v>
      </c>
      <c r="I96" s="134">
        <f t="shared" si="7"/>
        <v>493.26535000000001</v>
      </c>
      <c r="J96" s="242"/>
    </row>
    <row r="97" spans="1:10" ht="14.1" customHeight="1" x14ac:dyDescent="0.25">
      <c r="A97" s="199"/>
      <c r="B97" s="184"/>
      <c r="C97" s="64" t="s">
        <v>25</v>
      </c>
      <c r="D97" s="65">
        <v>10461</v>
      </c>
      <c r="E97" s="65">
        <v>10461</v>
      </c>
      <c r="F97" s="129">
        <f>172.09978</f>
        <v>172.09978000000001</v>
      </c>
      <c r="G97" s="129">
        <f>269.89861</f>
        <v>269.89861000000002</v>
      </c>
      <c r="H97" s="129">
        <f t="shared" ref="H97:H104" si="8">E97-G97</f>
        <v>10191.10139</v>
      </c>
      <c r="I97" s="129">
        <f>136.8194</f>
        <v>136.8194</v>
      </c>
      <c r="J97" s="242"/>
    </row>
    <row r="98" spans="1:10" ht="14.1" customHeight="1" x14ac:dyDescent="0.25">
      <c r="A98" s="199"/>
      <c r="B98" s="184"/>
      <c r="C98" s="64" t="s">
        <v>53</v>
      </c>
      <c r="D98" s="65">
        <v>11156</v>
      </c>
      <c r="E98" s="65">
        <v>11156</v>
      </c>
      <c r="F98" s="129">
        <f>175.84651</f>
        <v>175.84650999999999</v>
      </c>
      <c r="G98" s="129">
        <f>298.15802</f>
        <v>298.15802000000002</v>
      </c>
      <c r="H98" s="129">
        <f t="shared" si="8"/>
        <v>10857.841979999999</v>
      </c>
      <c r="I98" s="129">
        <f>195.78618</f>
        <v>195.78618</v>
      </c>
      <c r="J98" s="242"/>
    </row>
    <row r="99" spans="1:10" ht="14.1" customHeight="1" x14ac:dyDescent="0.25">
      <c r="A99" s="199"/>
      <c r="B99" s="184"/>
      <c r="C99" s="64" t="s">
        <v>54</v>
      </c>
      <c r="D99" s="65">
        <v>10513</v>
      </c>
      <c r="E99" s="65">
        <v>10513</v>
      </c>
      <c r="F99" s="129">
        <f>30.68189</f>
        <v>30.681889999999999</v>
      </c>
      <c r="G99" s="129">
        <f>104.42301</f>
        <v>104.42301</v>
      </c>
      <c r="H99" s="129">
        <f t="shared" si="8"/>
        <v>10408.57699</v>
      </c>
      <c r="I99" s="129">
        <f>100.58869</f>
        <v>100.58869</v>
      </c>
      <c r="J99" s="242"/>
    </row>
    <row r="100" spans="1:10" ht="14.1" customHeight="1" x14ac:dyDescent="0.25">
      <c r="A100" s="199"/>
      <c r="B100" s="184"/>
      <c r="C100" s="64" t="s">
        <v>28</v>
      </c>
      <c r="D100" s="65">
        <v>7040</v>
      </c>
      <c r="E100" s="65">
        <v>7040</v>
      </c>
      <c r="F100" s="129">
        <f>32.05047</f>
        <v>32.050469999999997</v>
      </c>
      <c r="G100" s="129">
        <f>37.34457</f>
        <v>37.344569999999997</v>
      </c>
      <c r="H100" s="129">
        <f t="shared" si="8"/>
        <v>7002.6554299999998</v>
      </c>
      <c r="I100" s="129">
        <f>60.07108</f>
        <v>60.071080000000002</v>
      </c>
      <c r="J100" s="242"/>
    </row>
    <row r="101" spans="1:10" ht="14.1" customHeight="1" x14ac:dyDescent="0.25">
      <c r="A101" s="199"/>
      <c r="B101" s="184"/>
      <c r="C101" s="59" t="s">
        <v>55</v>
      </c>
      <c r="D101" s="60">
        <v>9143</v>
      </c>
      <c r="E101" s="60">
        <v>9143</v>
      </c>
      <c r="F101" s="134">
        <f>4.43004</f>
        <v>4.43004</v>
      </c>
      <c r="G101" s="134">
        <f>24.47023</f>
        <v>24.470230000000001</v>
      </c>
      <c r="H101" s="134">
        <f t="shared" si="8"/>
        <v>9118.5297699999992</v>
      </c>
      <c r="I101" s="134">
        <f>66.71214</f>
        <v>66.712140000000005</v>
      </c>
      <c r="J101" s="242"/>
    </row>
    <row r="102" spans="1:10" ht="15.75" customHeight="1" x14ac:dyDescent="0.25">
      <c r="A102" s="1"/>
      <c r="B102" s="55"/>
      <c r="C102" s="38" t="s">
        <v>12</v>
      </c>
      <c r="D102" s="63">
        <v>4063</v>
      </c>
      <c r="E102" s="63">
        <v>4063</v>
      </c>
      <c r="F102" s="77">
        <f>60.92383</f>
        <v>60.923830000000002</v>
      </c>
      <c r="G102" s="77">
        <f>110.58136</f>
        <v>110.58136</v>
      </c>
      <c r="H102" s="77">
        <f t="shared" si="8"/>
        <v>3952.4186399999999</v>
      </c>
      <c r="I102" s="77">
        <f>43.39344</f>
        <v>43.393439999999998</v>
      </c>
      <c r="J102" s="242"/>
    </row>
    <row r="103" spans="1:10" ht="15.75" customHeight="1" x14ac:dyDescent="0.25">
      <c r="A103" s="1"/>
      <c r="B103" s="55"/>
      <c r="C103" s="75" t="s">
        <v>35</v>
      </c>
      <c r="D103" s="92">
        <v>320</v>
      </c>
      <c r="E103" s="92">
        <v>320</v>
      </c>
      <c r="F103" s="100">
        <f>0</f>
        <v>0</v>
      </c>
      <c r="G103" s="100">
        <f>0</f>
        <v>0</v>
      </c>
      <c r="H103" s="100">
        <f t="shared" si="8"/>
        <v>320</v>
      </c>
      <c r="I103" s="100">
        <f>0</f>
        <v>0</v>
      </c>
      <c r="J103" s="242"/>
    </row>
    <row r="104" spans="1:10" ht="18" customHeight="1" x14ac:dyDescent="0.25">
      <c r="A104" s="1"/>
      <c r="B104" s="252"/>
      <c r="C104" s="75" t="s">
        <v>56</v>
      </c>
      <c r="D104" s="146">
        <v>300</v>
      </c>
      <c r="E104" s="146">
        <v>300</v>
      </c>
      <c r="F104" s="141">
        <f>0.3507</f>
        <v>0.35070000000000001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39</v>
      </c>
      <c r="D105" s="146">
        <v>50</v>
      </c>
      <c r="E105" s="146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57</v>
      </c>
      <c r="D106" s="146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42</v>
      </c>
      <c r="D107" s="78">
        <f>D92+D95+D103+D104+D105+D106</f>
        <v>84177</v>
      </c>
      <c r="E107" s="78">
        <f t="shared" ref="E107:I107" si="9">E92+E95+E103+E104+E105+E106</f>
        <v>84177</v>
      </c>
      <c r="F107" s="78">
        <f t="shared" si="9"/>
        <v>564.75541999999996</v>
      </c>
      <c r="G107" s="78">
        <f t="shared" si="9"/>
        <v>1425.569799999987</v>
      </c>
      <c r="H107" s="78">
        <f t="shared" si="9"/>
        <v>82751.430200000017</v>
      </c>
      <c r="I107" s="78">
        <f t="shared" si="9"/>
        <v>1145.9129699999989</v>
      </c>
      <c r="J107" s="242"/>
    </row>
    <row r="108" spans="1:10" ht="13.5" customHeight="1" x14ac:dyDescent="0.25">
      <c r="A108" s="1"/>
      <c r="B108" s="252"/>
      <c r="C108" s="80" t="s">
        <v>129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143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128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58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0"/>
      <c r="J112" s="115"/>
    </row>
    <row r="113" spans="1:10" ht="12" customHeight="1" x14ac:dyDescent="0.25">
      <c r="A113" s="1"/>
      <c r="B113" s="101"/>
      <c r="C113" s="1" t="s">
        <v>122</v>
      </c>
      <c r="D113" s="226"/>
      <c r="E113" s="226"/>
      <c r="F113" s="226"/>
      <c r="G113" s="226"/>
      <c r="H113" s="226"/>
      <c r="I113" s="101"/>
      <c r="J113" s="101" t="s">
        <v>122</v>
      </c>
    </row>
    <row r="114" spans="1:10" ht="14.25" customHeight="1" x14ac:dyDescent="0.25">
      <c r="A114" s="1"/>
      <c r="B114" s="101"/>
      <c r="C114" s="101" t="s">
        <v>122</v>
      </c>
      <c r="D114" s="101" t="s">
        <v>122</v>
      </c>
      <c r="E114" s="101"/>
      <c r="F114" s="101"/>
      <c r="G114" s="101"/>
      <c r="H114" s="101"/>
      <c r="I114" s="101"/>
      <c r="J114" s="101" t="s">
        <v>122</v>
      </c>
    </row>
    <row r="115" spans="1:10" ht="17.100000000000001" customHeight="1" x14ac:dyDescent="0.25">
      <c r="A115" s="216"/>
      <c r="B115" s="216"/>
      <c r="C115" s="217" t="s">
        <v>59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7"/>
      <c r="D117" s="157"/>
      <c r="E117" s="157"/>
      <c r="F117" s="157"/>
      <c r="G117" s="157"/>
      <c r="H117" s="157"/>
      <c r="I117" s="157"/>
      <c r="J117" s="164"/>
    </row>
    <row r="118" spans="1:10" ht="15" customHeight="1" x14ac:dyDescent="0.25">
      <c r="A118" s="1"/>
      <c r="B118" s="54"/>
      <c r="C118" s="151" t="s">
        <v>2</v>
      </c>
      <c r="D118" s="187"/>
      <c r="E118" s="151" t="s">
        <v>3</v>
      </c>
      <c r="F118" s="187"/>
      <c r="G118" s="151" t="s">
        <v>4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7</v>
      </c>
      <c r="D119" s="119">
        <v>212544</v>
      </c>
      <c r="E119" s="102" t="s">
        <v>5</v>
      </c>
      <c r="F119" s="116">
        <v>77128</v>
      </c>
      <c r="G119" s="117" t="s">
        <v>6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10</v>
      </c>
      <c r="D120" s="119">
        <v>12100</v>
      </c>
      <c r="E120" s="117" t="s">
        <v>8</v>
      </c>
      <c r="F120" s="119">
        <v>79212</v>
      </c>
      <c r="G120" s="117" t="s">
        <v>9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60</v>
      </c>
      <c r="D121" s="119">
        <v>2150</v>
      </c>
      <c r="E121" s="117" t="s">
        <v>61</v>
      </c>
      <c r="F121" s="119">
        <v>52113</v>
      </c>
      <c r="G121" s="117" t="s">
        <v>12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8"/>
      <c r="D122" s="193"/>
      <c r="E122" s="193" t="s">
        <v>62</v>
      </c>
      <c r="F122" s="119">
        <v>4091</v>
      </c>
      <c r="G122" s="117"/>
      <c r="H122" s="168"/>
      <c r="I122" s="181"/>
      <c r="J122" s="242"/>
    </row>
    <row r="123" spans="1:10" ht="12" customHeight="1" x14ac:dyDescent="0.25">
      <c r="A123" s="1"/>
      <c r="B123" s="252"/>
      <c r="C123" s="180" t="s">
        <v>51</v>
      </c>
      <c r="D123" s="192">
        <v>226794</v>
      </c>
      <c r="E123" s="112" t="s">
        <v>15</v>
      </c>
      <c r="F123" s="192">
        <v>212544</v>
      </c>
      <c r="G123" s="180" t="s">
        <v>8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132</v>
      </c>
      <c r="D124" s="101"/>
      <c r="E124" s="101"/>
      <c r="F124" s="101"/>
      <c r="G124" s="101"/>
      <c r="H124" s="101"/>
      <c r="I124" s="101"/>
      <c r="J124" s="156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17</v>
      </c>
      <c r="D127" s="15" t="s">
        <v>18</v>
      </c>
      <c r="E127" s="15" t="s">
        <v>63</v>
      </c>
      <c r="F127" s="15" t="s">
        <v>138</v>
      </c>
      <c r="G127" s="15" t="s">
        <v>139</v>
      </c>
      <c r="H127" s="15" t="s">
        <v>140</v>
      </c>
      <c r="I127" s="15" t="s">
        <v>141</v>
      </c>
      <c r="J127" s="278"/>
    </row>
    <row r="128" spans="1:10" ht="14.1" customHeight="1" x14ac:dyDescent="0.25">
      <c r="A128" s="1"/>
      <c r="B128" s="252"/>
      <c r="C128" s="16" t="s">
        <v>64</v>
      </c>
      <c r="D128" s="28">
        <v>77128</v>
      </c>
      <c r="E128" s="28">
        <f t="shared" ref="E128:I128" si="10">E129+E130+E131</f>
        <v>77128</v>
      </c>
      <c r="F128" s="11">
        <f t="shared" si="10"/>
        <v>1090.3706999999999</v>
      </c>
      <c r="G128" s="11">
        <f t="shared" si="10"/>
        <v>2304.9670500000002</v>
      </c>
      <c r="H128" s="11">
        <f t="shared" si="10"/>
        <v>74823.032950000008</v>
      </c>
      <c r="I128" s="11">
        <f t="shared" si="10"/>
        <v>1928.51127</v>
      </c>
      <c r="J128" s="242"/>
    </row>
    <row r="129" spans="1:10" ht="14.1" customHeight="1" x14ac:dyDescent="0.25">
      <c r="A129" s="1"/>
      <c r="B129" s="252"/>
      <c r="C129" s="47" t="s">
        <v>21</v>
      </c>
      <c r="D129" s="48">
        <v>61702</v>
      </c>
      <c r="E129" s="48">
        <v>61702</v>
      </c>
      <c r="F129" s="23">
        <f>1090.3707</f>
        <v>1090.3706999999999</v>
      </c>
      <c r="G129" s="23">
        <f>2022.0381</f>
        <v>2022.0381</v>
      </c>
      <c r="H129" s="23">
        <f>E129-G129</f>
        <v>59679.961900000002</v>
      </c>
      <c r="I129" s="23">
        <f>1928.51127</f>
        <v>1928.51127</v>
      </c>
      <c r="J129" s="242"/>
    </row>
    <row r="130" spans="1:10" ht="15" customHeight="1" x14ac:dyDescent="0.25">
      <c r="A130" s="1"/>
      <c r="B130" s="252"/>
      <c r="C130" s="47" t="s">
        <v>22</v>
      </c>
      <c r="D130" s="48">
        <v>14926</v>
      </c>
      <c r="E130" s="48">
        <v>14926</v>
      </c>
      <c r="F130" s="23">
        <f>0</f>
        <v>0</v>
      </c>
      <c r="G130" s="23">
        <f>282.92895</f>
        <v>282.92894999999999</v>
      </c>
      <c r="H130" s="23">
        <f>E130-G130</f>
        <v>14643.07105</v>
      </c>
      <c r="I130" s="23">
        <f>0</f>
        <v>0</v>
      </c>
      <c r="J130" s="242"/>
    </row>
    <row r="131" spans="1:10" ht="13.5" customHeight="1" x14ac:dyDescent="0.25">
      <c r="A131" s="1"/>
      <c r="B131" s="252"/>
      <c r="C131" s="50" t="s">
        <v>65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66</v>
      </c>
      <c r="D132" s="93">
        <v>52113</v>
      </c>
      <c r="E132" s="93">
        <v>52113</v>
      </c>
      <c r="F132" s="97">
        <f>2.54935</f>
        <v>2.54935</v>
      </c>
      <c r="G132" s="97">
        <f>3.48935 +50.98788</f>
        <v>54.477229999999999</v>
      </c>
      <c r="H132" s="97">
        <f>E132-G132</f>
        <v>52058.522770000003</v>
      </c>
      <c r="I132" s="97">
        <f>5.326</f>
        <v>5.3259999999999996</v>
      </c>
      <c r="J132" s="118"/>
    </row>
    <row r="133" spans="1:10" ht="15.75" customHeight="1" x14ac:dyDescent="0.25">
      <c r="A133" s="1"/>
      <c r="B133" s="252"/>
      <c r="C133" s="144" t="s">
        <v>23</v>
      </c>
      <c r="D133" s="146">
        <v>80721</v>
      </c>
      <c r="E133" s="146">
        <f>E134+E139+E142</f>
        <v>80719</v>
      </c>
      <c r="F133" s="96">
        <f>F134+F139+F142</f>
        <v>3355.8897699999998</v>
      </c>
      <c r="G133" s="96">
        <f t="shared" ref="G133" si="11">G134+G139+G142</f>
        <v>6253.6529300000002</v>
      </c>
      <c r="H133" s="96">
        <f>H134+H139+H142</f>
        <v>74465.347069999989</v>
      </c>
      <c r="I133" s="96">
        <f>I134+I139+I142</f>
        <v>4215.5787099999998</v>
      </c>
      <c r="J133" s="122"/>
    </row>
    <row r="134" spans="1:10" ht="14.1" customHeight="1" x14ac:dyDescent="0.25">
      <c r="A134" s="1"/>
      <c r="B134" s="54"/>
      <c r="C134" s="123" t="s">
        <v>67</v>
      </c>
      <c r="D134" s="125">
        <v>60918</v>
      </c>
      <c r="E134" s="125">
        <f>E135+E136+E137+E138</f>
        <v>60916</v>
      </c>
      <c r="F134" s="127">
        <f>F135+F136+F137+F138</f>
        <v>3137.4215199999999</v>
      </c>
      <c r="G134" s="127">
        <f>G135+G136+G138+G137</f>
        <v>5849.8806199999999</v>
      </c>
      <c r="H134" s="127">
        <f>H135+H136+H137+H138</f>
        <v>55066.119379999996</v>
      </c>
      <c r="I134" s="127">
        <f>I135+I136+I137+I138</f>
        <v>4023.0392299999994</v>
      </c>
      <c r="J134" s="278"/>
    </row>
    <row r="135" spans="1:10" ht="14.1" customHeight="1" x14ac:dyDescent="0.25">
      <c r="A135" s="199"/>
      <c r="B135" s="128"/>
      <c r="C135" s="64" t="s">
        <v>25</v>
      </c>
      <c r="D135" s="65">
        <v>16169</v>
      </c>
      <c r="E135" s="65">
        <v>16169</v>
      </c>
      <c r="F135" s="129">
        <f>777.41813</f>
        <v>777.41813000000002</v>
      </c>
      <c r="G135" s="129">
        <f>1313.73048</f>
        <v>1313.7304799999999</v>
      </c>
      <c r="H135" s="129">
        <f>E135-G135</f>
        <v>14855.26952</v>
      </c>
      <c r="I135" s="129">
        <f>611.44585</f>
        <v>611.44584999999995</v>
      </c>
      <c r="J135" s="130"/>
    </row>
    <row r="136" spans="1:10" ht="14.1" customHeight="1" x14ac:dyDescent="0.25">
      <c r="A136" s="199"/>
      <c r="B136" s="184"/>
      <c r="C136" s="64" t="s">
        <v>53</v>
      </c>
      <c r="D136" s="65">
        <v>16559</v>
      </c>
      <c r="E136" s="65">
        <v>16559</v>
      </c>
      <c r="F136" s="129">
        <f>823.5861</f>
        <v>823.58609999999999</v>
      </c>
      <c r="G136" s="129">
        <f>1502.39792</f>
        <v>1502.3979200000001</v>
      </c>
      <c r="H136" s="129">
        <f>E136-G136</f>
        <v>15056.602080000001</v>
      </c>
      <c r="I136" s="129">
        <f>1133.67316</f>
        <v>1133.6731600000001</v>
      </c>
      <c r="J136" s="131"/>
    </row>
    <row r="137" spans="1:10" ht="14.1" customHeight="1" x14ac:dyDescent="0.25">
      <c r="A137" s="199"/>
      <c r="B137" s="184"/>
      <c r="C137" s="64" t="s">
        <v>54</v>
      </c>
      <c r="D137" s="65">
        <v>15131</v>
      </c>
      <c r="E137" s="65">
        <v>15131</v>
      </c>
      <c r="F137" s="129">
        <f>615.45273</f>
        <v>615.45272999999997</v>
      </c>
      <c r="G137" s="129">
        <f>1699.9572</f>
        <v>1699.9572000000001</v>
      </c>
      <c r="H137" s="129">
        <f>E137-G137</f>
        <v>13431.042799999999</v>
      </c>
      <c r="I137" s="129">
        <f>1724.4668</f>
        <v>1724.4667999999999</v>
      </c>
      <c r="J137" s="131"/>
    </row>
    <row r="138" spans="1:10" ht="14.1" customHeight="1" x14ac:dyDescent="0.25">
      <c r="A138" s="199"/>
      <c r="B138" s="184"/>
      <c r="C138" s="64" t="s">
        <v>28</v>
      </c>
      <c r="D138" s="65">
        <v>13057</v>
      </c>
      <c r="E138" s="65">
        <v>13057</v>
      </c>
      <c r="F138" s="129">
        <f>920.96456</f>
        <v>920.96456000000001</v>
      </c>
      <c r="G138" s="129">
        <v>1333.79502</v>
      </c>
      <c r="H138" s="129">
        <f>E138-G138</f>
        <v>11723.20498</v>
      </c>
      <c r="I138" s="129">
        <f>553.45342</f>
        <v>553.45342000000005</v>
      </c>
      <c r="J138" s="131"/>
    </row>
    <row r="139" spans="1:10" ht="14.1" customHeight="1" x14ac:dyDescent="0.25">
      <c r="A139" s="69"/>
      <c r="B139" s="55"/>
      <c r="C139" s="59" t="s">
        <v>30</v>
      </c>
      <c r="D139" s="60">
        <v>8713</v>
      </c>
      <c r="E139" s="60">
        <f>E141+E140</f>
        <v>8713</v>
      </c>
      <c r="F139" s="134">
        <f>SUM(F140:F141)</f>
        <v>42.797639999999994</v>
      </c>
      <c r="G139" s="134">
        <f>SUM(G140:G141)</f>
        <v>140.32823999999999</v>
      </c>
      <c r="H139" s="134">
        <f>H140+H141</f>
        <v>8572.6717599999993</v>
      </c>
      <c r="I139" s="134">
        <f>SUM(I140:I141)</f>
        <v>18.401580000000003</v>
      </c>
      <c r="J139" s="136"/>
    </row>
    <row r="140" spans="1:10" ht="14.1" customHeight="1" x14ac:dyDescent="0.25">
      <c r="A140" s="1"/>
      <c r="B140" s="252"/>
      <c r="C140" s="64" t="s">
        <v>68</v>
      </c>
      <c r="D140" s="65">
        <v>8213</v>
      </c>
      <c r="E140" s="65">
        <v>8213</v>
      </c>
      <c r="F140" s="129">
        <f>42.0468</f>
        <v>42.046799999999998</v>
      </c>
      <c r="G140" s="129">
        <f>138.6444</f>
        <v>138.64439999999999</v>
      </c>
      <c r="H140" s="129">
        <f t="shared" ref="H140:H147" si="12">E140-G140</f>
        <v>8074.3555999999999</v>
      </c>
      <c r="I140" s="129">
        <f>16.7481</f>
        <v>16.748100000000001</v>
      </c>
      <c r="J140" s="122"/>
    </row>
    <row r="141" spans="1:10" ht="15" customHeight="1" x14ac:dyDescent="0.25">
      <c r="A141" s="1"/>
      <c r="B141" s="55"/>
      <c r="C141" s="64" t="s">
        <v>69</v>
      </c>
      <c r="D141" s="65">
        <v>500</v>
      </c>
      <c r="E141" s="65">
        <v>500</v>
      </c>
      <c r="F141" s="129">
        <f>0.75084</f>
        <v>0.75083999999999995</v>
      </c>
      <c r="G141" s="129">
        <f>1.68384</f>
        <v>1.68384</v>
      </c>
      <c r="H141" s="129">
        <f t="shared" si="12"/>
        <v>498.31616000000002</v>
      </c>
      <c r="I141" s="129">
        <f>1.65348</f>
        <v>1.6534800000000001</v>
      </c>
      <c r="J141" s="137"/>
    </row>
    <row r="142" spans="1:10" ht="15.75" customHeight="1" x14ac:dyDescent="0.25">
      <c r="A142" s="1"/>
      <c r="B142" s="252"/>
      <c r="C142" s="38" t="s">
        <v>12</v>
      </c>
      <c r="D142" s="63">
        <v>11090</v>
      </c>
      <c r="E142" s="63">
        <v>11090</v>
      </c>
      <c r="F142" s="77">
        <f>175.67061</f>
        <v>175.67061000000001</v>
      </c>
      <c r="G142" s="77">
        <f>263.44407</f>
        <v>263.44407000000001</v>
      </c>
      <c r="H142" s="77">
        <f t="shared" si="12"/>
        <v>10826.55593</v>
      </c>
      <c r="I142" s="77">
        <f>174.1379</f>
        <v>174.1379</v>
      </c>
      <c r="J142" s="122"/>
    </row>
    <row r="143" spans="1:10" ht="15.75" customHeight="1" x14ac:dyDescent="0.25">
      <c r="A143" s="1"/>
      <c r="B143" s="252"/>
      <c r="C143" s="144" t="s">
        <v>35</v>
      </c>
      <c r="D143" s="146">
        <v>137</v>
      </c>
      <c r="E143" s="146">
        <v>137</v>
      </c>
      <c r="F143" s="141">
        <f>0.20925</f>
        <v>0.20924999999999999</v>
      </c>
      <c r="G143" s="141">
        <f>0.20925</f>
        <v>0.20924999999999999</v>
      </c>
      <c r="H143" s="141">
        <f t="shared" si="12"/>
        <v>136.79075</v>
      </c>
      <c r="I143" s="141">
        <f>0.081</f>
        <v>8.1000000000000003E-2</v>
      </c>
      <c r="J143" s="122"/>
    </row>
    <row r="144" spans="1:10" ht="15.75" customHeight="1" x14ac:dyDescent="0.25">
      <c r="A144" s="1"/>
      <c r="B144" s="252"/>
      <c r="C144" s="142" t="s">
        <v>70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0</f>
        <v>0</v>
      </c>
      <c r="J144" s="122"/>
    </row>
    <row r="145" spans="1:10" ht="18" customHeight="1" x14ac:dyDescent="0.25">
      <c r="A145" s="1"/>
      <c r="B145" s="252"/>
      <c r="C145" s="142" t="s">
        <v>71</v>
      </c>
      <c r="D145" s="146">
        <v>2000</v>
      </c>
      <c r="E145" s="146">
        <v>2000</v>
      </c>
      <c r="F145" s="141">
        <f>5.85001</f>
        <v>5.8500100000000002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38</v>
      </c>
      <c r="D146" s="146"/>
      <c r="E146" s="146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72</v>
      </c>
      <c r="D147" s="146">
        <v>195</v>
      </c>
      <c r="E147" s="146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41</v>
      </c>
      <c r="D148" s="148"/>
      <c r="E148" s="146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42</v>
      </c>
      <c r="D150" s="78">
        <f t="shared" ref="D150:E150" si="13">D128+D132+D133+D143+D144+D145+D146+D147+D148</f>
        <v>212544</v>
      </c>
      <c r="E150" s="78">
        <f t="shared" si="13"/>
        <v>212542</v>
      </c>
      <c r="F150" s="78">
        <f>F128+F132+F133+F143+F144+F145+F146+F147+F148</f>
        <v>4454.8690799999995</v>
      </c>
      <c r="G150" s="78">
        <f>G128+G132+G133+G143+G144+G145+G146+G147+G148</f>
        <v>10613.30646</v>
      </c>
      <c r="H150" s="78">
        <f>H128+H132+H133+H143+H144+H145+H146+H147+H148</f>
        <v>201928.69353999998</v>
      </c>
      <c r="I150" s="78">
        <f>I128+I132+I133+I143+I144+I145+I146+I147+I148</f>
        <v>8149.4969799999999</v>
      </c>
      <c r="J150" s="162"/>
    </row>
    <row r="151" spans="1:10" ht="14.25" customHeight="1" x14ac:dyDescent="0.25">
      <c r="A151" s="159"/>
      <c r="B151" s="54"/>
      <c r="C151" s="163" t="s">
        <v>73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290" t="s">
        <v>144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145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74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75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133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122</v>
      </c>
      <c r="B162" s="2"/>
      <c r="C162" s="217" t="s">
        <v>76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122</v>
      </c>
      <c r="B164" s="138"/>
      <c r="C164" s="176"/>
      <c r="D164" s="176"/>
      <c r="E164" s="176"/>
      <c r="F164" s="176"/>
      <c r="G164" s="176"/>
      <c r="H164" s="176"/>
      <c r="I164" s="176"/>
      <c r="J164" s="179"/>
    </row>
    <row r="165" spans="1:10" ht="14.1" customHeight="1" x14ac:dyDescent="0.25">
      <c r="A165" s="1" t="s">
        <v>122</v>
      </c>
      <c r="B165" s="252"/>
      <c r="C165" s="151" t="s">
        <v>2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7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10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77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51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16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1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17</v>
      </c>
      <c r="D174" s="177" t="s">
        <v>3</v>
      </c>
      <c r="E174" s="15" t="s">
        <v>138</v>
      </c>
      <c r="F174" s="15" t="s">
        <v>139</v>
      </c>
      <c r="G174" s="56" t="s">
        <v>140</v>
      </c>
      <c r="H174" s="15" t="s">
        <v>141</v>
      </c>
      <c r="I174" s="159"/>
      <c r="J174" s="278"/>
    </row>
    <row r="175" spans="1:10" ht="14.1" customHeight="1" x14ac:dyDescent="0.25">
      <c r="A175" s="1"/>
      <c r="B175" s="252"/>
      <c r="C175" s="143" t="s">
        <v>78</v>
      </c>
      <c r="D175" s="96">
        <v>4988</v>
      </c>
      <c r="E175" s="274">
        <f>57.73463</f>
        <v>57.734630000000003</v>
      </c>
      <c r="F175" s="274">
        <f>101.75683</f>
        <v>101.75682999999999</v>
      </c>
      <c r="G175" s="45">
        <f>D175-F175-F176</f>
        <v>4874.82305</v>
      </c>
      <c r="H175" s="274">
        <f>14.71825</f>
        <v>14.718249999999999</v>
      </c>
      <c r="I175" s="1"/>
      <c r="J175" s="122"/>
    </row>
    <row r="176" spans="1:10" ht="14.1" customHeight="1" x14ac:dyDescent="0.25">
      <c r="A176" s="1"/>
      <c r="B176" s="252"/>
      <c r="C176" s="139" t="s">
        <v>55</v>
      </c>
      <c r="D176" s="183"/>
      <c r="E176" s="154">
        <f>0</f>
        <v>0</v>
      </c>
      <c r="F176" s="154">
        <f>11.42012</f>
        <v>11.420120000000001</v>
      </c>
      <c r="G176" s="215"/>
      <c r="H176" s="154">
        <f>29.7106</f>
        <v>29.710599999999999</v>
      </c>
      <c r="I176" s="1"/>
      <c r="J176" s="122"/>
    </row>
    <row r="177" spans="1:10" ht="15.6" customHeight="1" x14ac:dyDescent="0.25">
      <c r="A177" s="1"/>
      <c r="B177" s="252"/>
      <c r="C177" s="171" t="s">
        <v>79</v>
      </c>
      <c r="D177" s="100">
        <v>200</v>
      </c>
      <c r="E177" s="174">
        <f>0</f>
        <v>0</v>
      </c>
      <c r="F177" s="174">
        <f>0.24192</f>
        <v>0.24192</v>
      </c>
      <c r="G177" s="174">
        <f>D177-F177</f>
        <v>199.75808000000001</v>
      </c>
      <c r="H177" s="174">
        <f>0</f>
        <v>0</v>
      </c>
      <c r="I177" s="1"/>
      <c r="J177" s="122"/>
    </row>
    <row r="178" spans="1:10" ht="14.1" customHeight="1" x14ac:dyDescent="0.25">
      <c r="A178" s="70"/>
      <c r="B178" s="81"/>
      <c r="C178" s="182" t="s">
        <v>80</v>
      </c>
      <c r="D178" s="183">
        <v>7481</v>
      </c>
      <c r="E178" s="183">
        <f>E179+E180+E181</f>
        <v>0.41455999999999998</v>
      </c>
      <c r="F178" s="183">
        <f>F179+F180+F181</f>
        <v>0.83992</v>
      </c>
      <c r="G178" s="183">
        <f>D178-F178</f>
        <v>7480.1600799999997</v>
      </c>
      <c r="H178" s="183">
        <f>H179+H180+H181</f>
        <v>2.9547500000000002</v>
      </c>
      <c r="I178" s="70"/>
      <c r="J178" s="118"/>
    </row>
    <row r="179" spans="1:10" ht="14.1" customHeight="1" x14ac:dyDescent="0.25">
      <c r="A179" s="199"/>
      <c r="B179" s="184"/>
      <c r="C179" s="185" t="s">
        <v>81</v>
      </c>
      <c r="D179" s="129"/>
      <c r="E179" s="129">
        <f>0.05708</f>
        <v>5.7079999999999999E-2</v>
      </c>
      <c r="F179" s="129">
        <f>0.10408</f>
        <v>0.10408000000000001</v>
      </c>
      <c r="G179" s="129"/>
      <c r="H179" s="129">
        <f>0.00396</f>
        <v>3.96E-3</v>
      </c>
      <c r="I179" s="188"/>
      <c r="J179" s="131"/>
    </row>
    <row r="180" spans="1:10" ht="14.1" customHeight="1" x14ac:dyDescent="0.25">
      <c r="A180" s="199"/>
      <c r="B180" s="184"/>
      <c r="C180" s="185" t="s">
        <v>82</v>
      </c>
      <c r="D180" s="129"/>
      <c r="E180" s="129">
        <f>0.02296</f>
        <v>2.2960000000000001E-2</v>
      </c>
      <c r="F180" s="129">
        <f>0.3106</f>
        <v>0.31059999999999999</v>
      </c>
      <c r="G180" s="129"/>
      <c r="H180" s="129">
        <f>2.49659</f>
        <v>2.4965899999999999</v>
      </c>
      <c r="I180" s="188"/>
      <c r="J180" s="190"/>
    </row>
    <row r="181" spans="1:10" ht="14.1" customHeight="1" x14ac:dyDescent="0.25">
      <c r="A181" s="199"/>
      <c r="B181" s="184"/>
      <c r="C181" s="191" t="s">
        <v>83</v>
      </c>
      <c r="D181" s="194"/>
      <c r="E181" s="194">
        <f>0.33452</f>
        <v>0.33451999999999998</v>
      </c>
      <c r="F181" s="194">
        <f>0.42524</f>
        <v>0.42524000000000001</v>
      </c>
      <c r="G181" s="194"/>
      <c r="H181" s="194">
        <f>0.4542</f>
        <v>0.45419999999999999</v>
      </c>
      <c r="I181" s="188"/>
      <c r="J181" s="190"/>
    </row>
    <row r="182" spans="1:10" ht="14.1" customHeight="1" x14ac:dyDescent="0.25">
      <c r="A182" s="1"/>
      <c r="B182" s="252"/>
      <c r="C182" s="75" t="s">
        <v>84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85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42</v>
      </c>
      <c r="D184" s="196">
        <f>D175+D177+D178+D182</f>
        <v>12735</v>
      </c>
      <c r="E184" s="196">
        <f>E175+E176+E177+E178+E182+E183</f>
        <v>58.149190000000004</v>
      </c>
      <c r="F184" s="196">
        <f>F175+F176+F177+F178+F182+F183</f>
        <v>114.25878999999999</v>
      </c>
      <c r="G184" s="196">
        <f>D184-F184</f>
        <v>12620.74121</v>
      </c>
      <c r="H184" s="196">
        <f>H175+H176+H177+H178+H182+H183</f>
        <v>47.383599999999994</v>
      </c>
      <c r="I184" s="165"/>
      <c r="J184" s="162"/>
    </row>
    <row r="185" spans="1:10" ht="42" customHeight="1" x14ac:dyDescent="0.25">
      <c r="A185" s="1"/>
      <c r="B185" s="201"/>
      <c r="C185" s="225" t="s">
        <v>134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122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122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86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122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7"/>
      <c r="I191" s="157"/>
      <c r="J191" s="164"/>
    </row>
    <row r="192" spans="1:10" ht="15" customHeight="1" x14ac:dyDescent="0.25">
      <c r="A192" s="152"/>
      <c r="B192" s="252"/>
      <c r="C192" s="151" t="s">
        <v>2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87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88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89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51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135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136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137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16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17</v>
      </c>
      <c r="D203" s="79" t="s">
        <v>3</v>
      </c>
      <c r="E203" s="68" t="s">
        <v>138</v>
      </c>
      <c r="F203" s="68" t="s">
        <v>139</v>
      </c>
      <c r="G203" s="68" t="s">
        <v>140</v>
      </c>
      <c r="H203" s="68" t="s">
        <v>141</v>
      </c>
      <c r="I203" s="1"/>
      <c r="J203" s="122"/>
    </row>
    <row r="204" spans="1:10" ht="15" customHeight="1" x14ac:dyDescent="0.25">
      <c r="A204" s="1"/>
      <c r="B204" s="252"/>
      <c r="C204" s="90" t="s">
        <v>5</v>
      </c>
      <c r="D204" s="124">
        <v>43839</v>
      </c>
      <c r="E204" s="124">
        <f>214.91415</f>
        <v>214.91415000000001</v>
      </c>
      <c r="F204" s="124">
        <f>304.20007</f>
        <v>304.20006999999998</v>
      </c>
      <c r="G204" s="124">
        <f>D204-F204</f>
        <v>43534.799930000001</v>
      </c>
      <c r="H204" s="124">
        <f>51.7271</f>
        <v>51.7271</v>
      </c>
      <c r="I204" s="246"/>
      <c r="J204" s="122"/>
    </row>
    <row r="205" spans="1:10" ht="15" customHeight="1" x14ac:dyDescent="0.25">
      <c r="A205" s="1"/>
      <c r="B205" s="252"/>
      <c r="C205" s="90" t="s">
        <v>69</v>
      </c>
      <c r="D205" s="124">
        <v>100</v>
      </c>
      <c r="E205" s="124">
        <f>0</f>
        <v>0</v>
      </c>
      <c r="F205" s="124">
        <f>0.005</f>
        <v>5.0000000000000001E-3</v>
      </c>
      <c r="G205" s="124">
        <f>D205-F205</f>
        <v>99.995000000000005</v>
      </c>
      <c r="H205" s="124">
        <f>0</f>
        <v>0</v>
      </c>
      <c r="I205" s="246"/>
      <c r="J205" s="122"/>
    </row>
    <row r="206" spans="1:10" ht="15.75" customHeight="1" x14ac:dyDescent="0.25">
      <c r="A206" s="1"/>
      <c r="B206" s="252"/>
      <c r="C206" s="145" t="s">
        <v>84</v>
      </c>
      <c r="D206" s="167">
        <v>42</v>
      </c>
      <c r="E206" s="167"/>
      <c r="F206" s="167"/>
      <c r="G206" s="167">
        <f>D206-F206</f>
        <v>42</v>
      </c>
      <c r="H206" s="167"/>
      <c r="I206" s="246"/>
      <c r="J206" s="122"/>
    </row>
    <row r="207" spans="1:10" ht="16.5" customHeight="1" x14ac:dyDescent="0.25">
      <c r="A207" s="1"/>
      <c r="B207" s="252"/>
      <c r="C207" s="178" t="s">
        <v>90</v>
      </c>
      <c r="D207" s="189">
        <f>SUM(D204:D206)</f>
        <v>43981</v>
      </c>
      <c r="E207" s="189">
        <f>SUM(E204:E206)</f>
        <v>214.91415000000001</v>
      </c>
      <c r="F207" s="189">
        <f>SUM(F204:F206)</f>
        <v>304.20506999999998</v>
      </c>
      <c r="G207" s="189">
        <f>D207-F207</f>
        <v>43676.794930000004</v>
      </c>
      <c r="H207" s="189">
        <f>SUM(H204:H206)</f>
        <v>51.7271</v>
      </c>
      <c r="I207" s="246"/>
      <c r="J207" s="122"/>
    </row>
    <row r="208" spans="1:10" ht="17.100000000000001" customHeight="1" x14ac:dyDescent="0.25">
      <c r="A208" s="1"/>
      <c r="B208" s="166"/>
      <c r="C208" s="200" t="s">
        <v>91</v>
      </c>
      <c r="D208" s="109"/>
      <c r="E208" s="109"/>
      <c r="F208" s="211"/>
      <c r="G208" s="211"/>
      <c r="H208" s="211"/>
      <c r="I208" s="211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122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92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122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2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87</v>
      </c>
      <c r="D247" s="268">
        <v>1870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93</v>
      </c>
      <c r="D248" s="46">
        <v>5934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94</v>
      </c>
      <c r="D249" s="46">
        <v>5060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77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51</v>
      </c>
      <c r="D251" s="35">
        <f>SUM(D247:D250)</f>
        <v>13246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95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96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97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16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thickBot="1" x14ac:dyDescent="0.3">
      <c r="A257" s="1"/>
      <c r="B257" s="252"/>
      <c r="C257" s="68" t="s">
        <v>17</v>
      </c>
      <c r="D257" s="241" t="s">
        <v>3</v>
      </c>
      <c r="E257" s="68" t="s">
        <v>138</v>
      </c>
      <c r="F257" s="68" t="s">
        <v>139</v>
      </c>
      <c r="G257" s="68" t="s">
        <v>140</v>
      </c>
      <c r="H257" s="68" t="s">
        <v>141</v>
      </c>
      <c r="I257" s="1"/>
      <c r="J257" s="118"/>
    </row>
    <row r="258" spans="1:10" ht="14.1" customHeight="1" thickBot="1" x14ac:dyDescent="0.3">
      <c r="A258" s="70"/>
      <c r="B258" s="81"/>
      <c r="C258" s="90" t="s">
        <v>98</v>
      </c>
      <c r="D258" s="124">
        <v>800</v>
      </c>
      <c r="E258" s="124">
        <f>4.64668</f>
        <v>4.6466799999999999</v>
      </c>
      <c r="F258" s="124">
        <f>10.76074</f>
        <v>10.76074</v>
      </c>
      <c r="G258" s="124">
        <f t="shared" ref="G258:G259" si="14">D258-F258</f>
        <v>789.23925999999994</v>
      </c>
      <c r="H258" s="124">
        <f>4.68557</f>
        <v>4.6855700000000002</v>
      </c>
      <c r="I258" s="70"/>
      <c r="J258" s="242"/>
    </row>
    <row r="259" spans="1:10" ht="14.1" customHeight="1" thickBot="1" x14ac:dyDescent="0.3">
      <c r="A259" s="1"/>
      <c r="B259" s="252"/>
      <c r="C259" s="90" t="s">
        <v>99</v>
      </c>
      <c r="D259" s="244">
        <v>2494</v>
      </c>
      <c r="E259" s="124">
        <f>13.40902</f>
        <v>13.40902</v>
      </c>
      <c r="F259" s="124">
        <f>23.1773</f>
        <v>23.177299999999999</v>
      </c>
      <c r="G259" s="124">
        <f t="shared" si="14"/>
        <v>2470.8227000000002</v>
      </c>
      <c r="H259" s="124">
        <f>17.64093</f>
        <v>17.640930000000001</v>
      </c>
      <c r="I259" s="181"/>
      <c r="J259" s="118"/>
    </row>
    <row r="260" spans="1:10" ht="16.5" customHeight="1" thickBot="1" x14ac:dyDescent="0.3">
      <c r="A260" s="70"/>
      <c r="B260" s="81"/>
      <c r="C260" s="145" t="s">
        <v>84</v>
      </c>
      <c r="D260" s="244">
        <v>5</v>
      </c>
      <c r="E260" s="167">
        <f>0</f>
        <v>0</v>
      </c>
      <c r="F260" s="167">
        <f>0</f>
        <v>0</v>
      </c>
      <c r="G260" s="124">
        <f>D260-F260</f>
        <v>5</v>
      </c>
      <c r="H260" s="167">
        <f>0</f>
        <v>0</v>
      </c>
      <c r="I260" s="70"/>
      <c r="J260" s="247"/>
    </row>
    <row r="261" spans="1:10" ht="18.75" customHeight="1" thickBot="1" x14ac:dyDescent="0.3">
      <c r="A261" s="70"/>
      <c r="B261" s="248"/>
      <c r="C261" s="145" t="s">
        <v>100</v>
      </c>
      <c r="D261" s="220"/>
      <c r="E261" s="167">
        <f>0</f>
        <v>0</v>
      </c>
      <c r="F261" s="167">
        <f>0</f>
        <v>0</v>
      </c>
      <c r="G261" s="124"/>
      <c r="H261" s="167">
        <f>0.02</f>
        <v>0.02</v>
      </c>
      <c r="I261" s="282"/>
      <c r="J261" s="122"/>
    </row>
    <row r="262" spans="1:10" ht="14.1" customHeight="1" thickBot="1" x14ac:dyDescent="0.3">
      <c r="A262" s="1"/>
      <c r="B262" s="252"/>
      <c r="C262" s="178" t="s">
        <v>90</v>
      </c>
      <c r="D262" s="6">
        <f>D247</f>
        <v>1870</v>
      </c>
      <c r="E262" s="189">
        <f>SUM(E258:E261)</f>
        <v>18.055700000000002</v>
      </c>
      <c r="F262" s="189">
        <f>SUM(F258:F261)</f>
        <v>33.938040000000001</v>
      </c>
      <c r="G262" s="189">
        <f>D262-F262</f>
        <v>1836.06196</v>
      </c>
      <c r="H262" s="189">
        <f>H258+H259+H260+H261</f>
        <v>22.346500000000002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122</v>
      </c>
    </row>
    <row r="266" spans="1:10" ht="14.1" customHeight="1" x14ac:dyDescent="0.25">
      <c r="A266" s="1" t="s">
        <v>122</v>
      </c>
    </row>
    <row r="267" spans="1:10" ht="14.1" customHeight="1" x14ac:dyDescent="0.25">
      <c r="A267" s="1" t="s">
        <v>122</v>
      </c>
    </row>
    <row r="268" spans="1:10" ht="14.1" customHeight="1" x14ac:dyDescent="0.25">
      <c r="A268" s="1"/>
      <c r="C268" s="152" t="s">
        <v>122</v>
      </c>
    </row>
    <row r="269" spans="1:10" ht="36" customHeight="1" x14ac:dyDescent="0.25">
      <c r="A269" s="1"/>
      <c r="C269" s="152" t="s">
        <v>122</v>
      </c>
    </row>
    <row r="270" spans="1:10" ht="14.1" customHeight="1" x14ac:dyDescent="0.25">
      <c r="A270" s="1"/>
      <c r="C270" s="152" t="s">
        <v>122</v>
      </c>
    </row>
    <row r="271" spans="1:10" ht="14.1" customHeight="1" x14ac:dyDescent="0.25">
      <c r="A271" s="1"/>
      <c r="C271" s="152" t="s">
        <v>122</v>
      </c>
    </row>
    <row r="272" spans="1:10" ht="30" customHeight="1" x14ac:dyDescent="0.35">
      <c r="A272" s="216"/>
      <c r="B272" s="1"/>
      <c r="C272" s="213" t="s">
        <v>101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2</v>
      </c>
      <c r="D275" s="187"/>
      <c r="E275" s="151" t="s">
        <v>102</v>
      </c>
      <c r="F275" s="187"/>
      <c r="G275" s="151" t="s">
        <v>103</v>
      </c>
      <c r="H275" s="187"/>
      <c r="I275" s="152"/>
      <c r="J275" s="132"/>
    </row>
    <row r="276" spans="1:10" ht="14.25" customHeight="1" x14ac:dyDescent="0.25">
      <c r="B276" s="74"/>
      <c r="C276" s="257" t="s">
        <v>87</v>
      </c>
      <c r="D276" s="268">
        <v>27365</v>
      </c>
      <c r="E276" s="250" t="s">
        <v>5</v>
      </c>
      <c r="F276" s="105">
        <v>13865</v>
      </c>
      <c r="G276" s="246" t="s">
        <v>21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94</v>
      </c>
      <c r="D277" s="46">
        <v>19433</v>
      </c>
      <c r="E277" s="181" t="s">
        <v>99</v>
      </c>
      <c r="F277" s="49">
        <v>8000</v>
      </c>
      <c r="G277" s="246" t="s">
        <v>22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93</v>
      </c>
      <c r="D278" s="46">
        <v>6186</v>
      </c>
      <c r="E278" s="181" t="s">
        <v>61</v>
      </c>
      <c r="F278" s="49">
        <v>5500</v>
      </c>
      <c r="G278" s="246" t="s">
        <v>104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105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51</v>
      </c>
      <c r="D280" s="35">
        <v>53374</v>
      </c>
      <c r="E280" s="175" t="s">
        <v>106</v>
      </c>
      <c r="F280" s="35">
        <f>F276+F277+F278</f>
        <v>27365</v>
      </c>
      <c r="G280" s="57" t="s">
        <v>5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123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107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16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1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17</v>
      </c>
      <c r="D287" s="230" t="s">
        <v>18</v>
      </c>
      <c r="E287" s="68" t="s">
        <v>108</v>
      </c>
      <c r="F287" s="221" t="s">
        <v>138</v>
      </c>
      <c r="G287" s="221" t="s">
        <v>139</v>
      </c>
      <c r="H287" s="221" t="s">
        <v>140</v>
      </c>
      <c r="I287" s="221" t="s">
        <v>141</v>
      </c>
      <c r="J287" s="132"/>
    </row>
    <row r="288" spans="1:10" ht="14.1" customHeight="1" x14ac:dyDescent="0.25">
      <c r="A288" s="216"/>
      <c r="B288" s="74"/>
      <c r="C288" s="245" t="s">
        <v>20</v>
      </c>
      <c r="D288" s="249">
        <f t="shared" ref="D288:I288" si="15">D292+D291+D290+D289</f>
        <v>13765</v>
      </c>
      <c r="E288" s="249">
        <f t="shared" si="15"/>
        <v>16102</v>
      </c>
      <c r="F288" s="251">
        <f t="shared" si="15"/>
        <v>47.963319999999996</v>
      </c>
      <c r="G288" s="251">
        <f t="shared" si="15"/>
        <v>93.888019999999997</v>
      </c>
      <c r="H288" s="251">
        <f>H292+H291+H290+H289</f>
        <v>16008.111980000001</v>
      </c>
      <c r="I288" s="251">
        <f t="shared" si="15"/>
        <v>20.510950000000001</v>
      </c>
      <c r="J288" s="132"/>
    </row>
    <row r="289" spans="1:10" ht="14.1" customHeight="1" x14ac:dyDescent="0.25">
      <c r="A289" s="216"/>
      <c r="B289" s="74"/>
      <c r="C289" s="253" t="s">
        <v>109</v>
      </c>
      <c r="D289" s="254">
        <v>6472</v>
      </c>
      <c r="E289" s="254">
        <v>8177</v>
      </c>
      <c r="F289" s="255">
        <f>0</f>
        <v>0</v>
      </c>
      <c r="G289" s="255">
        <f>0</f>
        <v>0</v>
      </c>
      <c r="H289" s="255">
        <f t="shared" ref="H289:H293" si="16">E289-G289</f>
        <v>8177</v>
      </c>
      <c r="I289" s="255">
        <f>0</f>
        <v>0</v>
      </c>
      <c r="J289" s="132"/>
    </row>
    <row r="290" spans="1:10" ht="14.1" customHeight="1" x14ac:dyDescent="0.25">
      <c r="A290" s="216"/>
      <c r="B290" s="74"/>
      <c r="C290" s="258" t="s">
        <v>22</v>
      </c>
      <c r="D290" s="254">
        <v>1684</v>
      </c>
      <c r="E290" s="254">
        <v>2128</v>
      </c>
      <c r="F290" s="255">
        <f>0</f>
        <v>0</v>
      </c>
      <c r="G290" s="255">
        <f>0</f>
        <v>0</v>
      </c>
      <c r="H290" s="255">
        <f t="shared" si="16"/>
        <v>2128</v>
      </c>
      <c r="I290" s="255">
        <f>0</f>
        <v>0</v>
      </c>
      <c r="J290" s="132"/>
    </row>
    <row r="291" spans="1:10" ht="14.1" customHeight="1" x14ac:dyDescent="0.25">
      <c r="A291" s="216"/>
      <c r="B291" s="74"/>
      <c r="C291" s="258" t="s">
        <v>105</v>
      </c>
      <c r="D291" s="254">
        <v>1313</v>
      </c>
      <c r="E291" s="254">
        <v>1357</v>
      </c>
      <c r="F291" s="255">
        <f>47.05132</f>
        <v>47.051319999999997</v>
      </c>
      <c r="G291" s="255">
        <f>80.51142</f>
        <v>80.511420000000001</v>
      </c>
      <c r="H291" s="255">
        <f t="shared" si="16"/>
        <v>1276.48858</v>
      </c>
      <c r="I291" s="255">
        <f>18.36215</f>
        <v>18.36215</v>
      </c>
      <c r="J291" s="132"/>
    </row>
    <row r="292" spans="1:10" ht="14.1" customHeight="1" x14ac:dyDescent="0.25">
      <c r="A292" s="216"/>
      <c r="B292" s="74"/>
      <c r="C292" s="260" t="s">
        <v>110</v>
      </c>
      <c r="D292" s="261">
        <v>4296</v>
      </c>
      <c r="E292" s="261">
        <v>4440</v>
      </c>
      <c r="F292" s="255">
        <f>0.912</f>
        <v>0.91200000000000003</v>
      </c>
      <c r="G292" s="255">
        <f>13.3766</f>
        <v>13.3766</v>
      </c>
      <c r="H292" s="255">
        <f t="shared" si="16"/>
        <v>4426.6234000000004</v>
      </c>
      <c r="I292" s="255">
        <f>2.1488</f>
        <v>2.1488</v>
      </c>
      <c r="J292" s="132"/>
    </row>
    <row r="293" spans="1:10" ht="14.1" customHeight="1" x14ac:dyDescent="0.25">
      <c r="A293" s="216"/>
      <c r="B293" s="74"/>
      <c r="C293" s="263" t="s">
        <v>61</v>
      </c>
      <c r="D293" s="264">
        <v>5500</v>
      </c>
      <c r="E293" s="264">
        <v>5500</v>
      </c>
      <c r="F293" s="266">
        <f>0</f>
        <v>0</v>
      </c>
      <c r="G293" s="266">
        <f>0.074</f>
        <v>7.3999999999999996E-2</v>
      </c>
      <c r="H293" s="266">
        <f t="shared" si="16"/>
        <v>5499.9260000000004</v>
      </c>
      <c r="I293" s="266">
        <f>75.49702</f>
        <v>75.497020000000006</v>
      </c>
      <c r="J293" s="132"/>
    </row>
    <row r="294" spans="1:10" ht="14.1" customHeight="1" x14ac:dyDescent="0.25">
      <c r="A294" s="216"/>
      <c r="B294" s="74"/>
      <c r="C294" s="245" t="s">
        <v>23</v>
      </c>
      <c r="D294" s="249">
        <v>8000</v>
      </c>
      <c r="E294" s="249">
        <v>8000</v>
      </c>
      <c r="F294" s="267">
        <f>F296+F295</f>
        <v>41.851900000000001</v>
      </c>
      <c r="G294" s="267">
        <f>G296+G295</f>
        <v>62.514879999999998</v>
      </c>
      <c r="H294" s="267">
        <f>E294-G294</f>
        <v>7937.4851200000003</v>
      </c>
      <c r="I294" s="267">
        <f>I296+I295</f>
        <v>83.928820000000002</v>
      </c>
      <c r="J294" s="132"/>
    </row>
    <row r="295" spans="1:10" ht="14.1" customHeight="1" x14ac:dyDescent="0.25">
      <c r="A295" s="216"/>
      <c r="B295" s="74"/>
      <c r="C295" s="258" t="s">
        <v>55</v>
      </c>
      <c r="D295" s="269"/>
      <c r="E295" s="254"/>
      <c r="F295" s="255">
        <f>0</f>
        <v>0</v>
      </c>
      <c r="G295" s="255">
        <f>0</f>
        <v>0</v>
      </c>
      <c r="H295" s="255"/>
      <c r="I295" s="255">
        <f>0</f>
        <v>0</v>
      </c>
      <c r="J295" s="132"/>
    </row>
    <row r="296" spans="1:10" ht="14.1" customHeight="1" x14ac:dyDescent="0.25">
      <c r="A296" s="216"/>
      <c r="B296" s="74"/>
      <c r="C296" s="271" t="s">
        <v>111</v>
      </c>
      <c r="D296" s="272"/>
      <c r="E296" s="275"/>
      <c r="F296" s="276">
        <f>41.8519</f>
        <v>41.851900000000001</v>
      </c>
      <c r="G296" s="276">
        <f>62.51488</f>
        <v>62.514879999999998</v>
      </c>
      <c r="H296" s="276"/>
      <c r="I296" s="276">
        <f>83.92882</f>
        <v>83.928820000000002</v>
      </c>
      <c r="J296" s="132"/>
    </row>
    <row r="297" spans="1:10" ht="14.1" customHeight="1" x14ac:dyDescent="0.25">
      <c r="A297" s="216"/>
      <c r="B297" s="74"/>
      <c r="C297" s="263" t="s">
        <v>35</v>
      </c>
      <c r="D297" s="264">
        <v>10</v>
      </c>
      <c r="E297" s="264">
        <v>10</v>
      </c>
      <c r="F297" s="266">
        <f>0</f>
        <v>0</v>
      </c>
      <c r="G297" s="266">
        <f>0</f>
        <v>0</v>
      </c>
      <c r="H297" s="266">
        <f>E297-G297</f>
        <v>10</v>
      </c>
      <c r="I297" s="266">
        <f>0</f>
        <v>0</v>
      </c>
      <c r="J297" s="132"/>
    </row>
    <row r="298" spans="1:10" ht="14.1" customHeight="1" x14ac:dyDescent="0.25">
      <c r="A298" s="216"/>
      <c r="B298" s="74"/>
      <c r="C298" s="277" t="s">
        <v>112</v>
      </c>
      <c r="D298" s="280"/>
      <c r="E298" s="281"/>
      <c r="F298" s="266">
        <f>0.22648</f>
        <v>0.22647999999999999</v>
      </c>
      <c r="G298" s="266">
        <f>0.82936</f>
        <v>0.82935999999999999</v>
      </c>
      <c r="H298" s="266">
        <f>E298-G298</f>
        <v>-0.82935999999999999</v>
      </c>
      <c r="I298" s="266">
        <f>11.59349</f>
        <v>11.593489999999999</v>
      </c>
      <c r="J298" s="132"/>
    </row>
    <row r="299" spans="1:10" ht="19.5" customHeight="1" x14ac:dyDescent="0.25">
      <c r="A299" s="216"/>
      <c r="B299" s="74"/>
      <c r="C299" s="283" t="s">
        <v>42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7">F288+F293+F294+F297+F298</f>
        <v>90.041699999999992</v>
      </c>
      <c r="G299" s="285">
        <f t="shared" si="17"/>
        <v>157.30626000000001</v>
      </c>
      <c r="H299" s="285">
        <f>H288+H293+H294+H297+H298</f>
        <v>29454.693740000002</v>
      </c>
      <c r="I299" s="285">
        <f t="shared" si="17"/>
        <v>191.53028</v>
      </c>
      <c r="J299" s="132"/>
    </row>
    <row r="300" spans="1:10" ht="14.1" customHeight="1" x14ac:dyDescent="0.25">
      <c r="A300" s="216"/>
      <c r="B300" s="74"/>
      <c r="C300" s="163" t="s">
        <v>113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124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125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122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122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122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114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115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87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94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77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51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116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126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16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1"/>
      <c r="C320" s="20" t="s">
        <v>117</v>
      </c>
      <c r="D320" s="22" t="s">
        <v>118</v>
      </c>
      <c r="E320" s="20" t="s">
        <v>138</v>
      </c>
      <c r="F320" s="20" t="s">
        <v>139</v>
      </c>
      <c r="G320" s="25" t="s">
        <v>140</v>
      </c>
      <c r="H320" s="20" t="s">
        <v>141</v>
      </c>
      <c r="I320" s="222"/>
      <c r="J320" s="13"/>
    </row>
    <row r="321" spans="1:10" ht="14.1" customHeight="1" x14ac:dyDescent="0.25">
      <c r="A321" s="216"/>
      <c r="B321" s="74"/>
      <c r="C321" s="263" t="s">
        <v>119</v>
      </c>
      <c r="D321" s="10">
        <v>2241</v>
      </c>
      <c r="E321" s="26">
        <f>E323+E322</f>
        <v>130.9315</v>
      </c>
      <c r="F321" s="26">
        <f>F323+F322</f>
        <v>247.74881000000002</v>
      </c>
      <c r="G321" s="87">
        <f>D321-F321</f>
        <v>1993.25119</v>
      </c>
      <c r="H321" s="26">
        <f>SUM(H322:H323)</f>
        <v>163.77234000000001</v>
      </c>
      <c r="I321" s="27"/>
      <c r="J321" s="132"/>
    </row>
    <row r="322" spans="1:10" ht="14.1" customHeight="1" x14ac:dyDescent="0.25">
      <c r="A322" s="216"/>
      <c r="B322" s="74"/>
      <c r="C322" s="29" t="s">
        <v>9</v>
      </c>
      <c r="D322" s="206"/>
      <c r="E322" s="207">
        <f>115.4575</f>
        <v>115.4575</v>
      </c>
      <c r="F322" s="207">
        <f>209.55081</f>
        <v>209.55081000000001</v>
      </c>
      <c r="G322" s="208"/>
      <c r="H322" s="207">
        <f>142.47774</f>
        <v>142.47774000000001</v>
      </c>
      <c r="I322" s="152"/>
      <c r="J322" s="132"/>
    </row>
    <row r="323" spans="1:10" ht="14.1" customHeight="1" x14ac:dyDescent="0.25">
      <c r="A323" s="216"/>
      <c r="B323" s="74"/>
      <c r="C323" s="29" t="s">
        <v>12</v>
      </c>
      <c r="D323" s="209"/>
      <c r="E323" s="210">
        <f>15.474</f>
        <v>15.474</v>
      </c>
      <c r="F323" s="210">
        <f>38.198</f>
        <v>38.198</v>
      </c>
      <c r="G323" s="212"/>
      <c r="H323" s="210">
        <f>21.2946</f>
        <v>21.294599999999999</v>
      </c>
      <c r="I323" s="152"/>
      <c r="J323" s="132"/>
    </row>
    <row r="324" spans="1:10" ht="14.1" customHeight="1" x14ac:dyDescent="0.25">
      <c r="A324" s="216"/>
      <c r="B324" s="74"/>
      <c r="C324" s="263" t="s">
        <v>120</v>
      </c>
      <c r="D324" s="10">
        <v>1120</v>
      </c>
      <c r="E324" s="26">
        <f>SUM(E325:E326)</f>
        <v>0</v>
      </c>
      <c r="F324" s="26">
        <f>SUM(F325:F326)</f>
        <v>0</v>
      </c>
      <c r="G324" s="87">
        <f>D324-F324</f>
        <v>1120</v>
      </c>
      <c r="H324" s="26">
        <f>SUM(H325:H326)</f>
        <v>0</v>
      </c>
      <c r="I324" s="27"/>
      <c r="J324" s="132"/>
    </row>
    <row r="325" spans="1:10" ht="14.1" customHeight="1" x14ac:dyDescent="0.25">
      <c r="A325" s="216"/>
      <c r="B325" s="74"/>
      <c r="C325" s="29" t="s">
        <v>9</v>
      </c>
      <c r="D325" s="44"/>
      <c r="E325" s="30">
        <f>0</f>
        <v>0</v>
      </c>
      <c r="F325" s="30">
        <f>0</f>
        <v>0</v>
      </c>
      <c r="G325" s="99"/>
      <c r="H325" s="30">
        <f>0</f>
        <v>0</v>
      </c>
      <c r="I325" s="152"/>
      <c r="J325" s="132"/>
    </row>
    <row r="326" spans="1:10" ht="14.1" customHeight="1" x14ac:dyDescent="0.25">
      <c r="A326" s="216"/>
      <c r="B326" s="74"/>
      <c r="C326" s="29" t="s">
        <v>12</v>
      </c>
      <c r="D326" s="219"/>
      <c r="E326" s="30">
        <f>0</f>
        <v>0</v>
      </c>
      <c r="F326" s="30">
        <f>0</f>
        <v>0</v>
      </c>
      <c r="G326" s="110"/>
      <c r="H326" s="30">
        <f>0</f>
        <v>0</v>
      </c>
      <c r="I326" s="152"/>
      <c r="J326" s="132"/>
    </row>
    <row r="327" spans="1:10" ht="14.1" customHeight="1" x14ac:dyDescent="0.25">
      <c r="A327" s="216"/>
      <c r="B327" s="74"/>
      <c r="C327" s="263" t="s">
        <v>121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9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12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100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90</v>
      </c>
      <c r="D331" s="41">
        <f>D321+D324+D327</f>
        <v>3361</v>
      </c>
      <c r="E331" s="42">
        <f>E321+E324+E327+E330</f>
        <v>130.9315</v>
      </c>
      <c r="F331" s="42">
        <f>F321+F324+F327+F330</f>
        <v>247.74881000000002</v>
      </c>
      <c r="G331" s="43">
        <f>SUM(G321:G330)</f>
        <v>3113.25119</v>
      </c>
      <c r="H331" s="42">
        <f>H321+H324+H327+H330</f>
        <v>163.77234000000001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1"/>
      <c r="D333" s="202"/>
      <c r="E333" s="211"/>
      <c r="F333" s="211"/>
      <c r="G333" s="211"/>
      <c r="H333" s="211"/>
      <c r="I333" s="211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2&amp;R25.01.2023</oddHeader>
    <oddFooter>&amp;L&amp;8Fiskeridirektoratet&amp;C&amp;8Reguleringsseksjonen&amp;R&amp;8Amund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2023-01-25T07:44:30Z</dcterms:modified>
</cp:coreProperties>
</file>