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40F5776E-0B4F-4E0F-BE99-D8DEF156E7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331" i="1"/>
  <c r="H329" i="1"/>
  <c r="F329" i="1"/>
  <c r="E329" i="1"/>
  <c r="H328" i="1"/>
  <c r="H327" i="1" s="1"/>
  <c r="F328" i="1"/>
  <c r="F327" i="1" s="1"/>
  <c r="G327" i="1" s="1"/>
  <c r="E328" i="1"/>
  <c r="E327" i="1" s="1"/>
  <c r="H326" i="1"/>
  <c r="F326" i="1"/>
  <c r="E326" i="1"/>
  <c r="E324" i="1" s="1"/>
  <c r="H325" i="1"/>
  <c r="F325" i="1"/>
  <c r="F324" i="1" s="1"/>
  <c r="G324" i="1" s="1"/>
  <c r="E325" i="1"/>
  <c r="H324" i="1"/>
  <c r="H323" i="1"/>
  <c r="H321" i="1" s="1"/>
  <c r="H331" i="1" s="1"/>
  <c r="F323" i="1"/>
  <c r="E323" i="1"/>
  <c r="E321" i="1" s="1"/>
  <c r="H322" i="1"/>
  <c r="F322" i="1"/>
  <c r="E322" i="1"/>
  <c r="F321" i="1"/>
  <c r="G321" i="1" s="1"/>
  <c r="E299" i="1"/>
  <c r="D299" i="1"/>
  <c r="I298" i="1"/>
  <c r="G298" i="1"/>
  <c r="H298" i="1" s="1"/>
  <c r="F298" i="1"/>
  <c r="I297" i="1"/>
  <c r="G297" i="1"/>
  <c r="H297" i="1" s="1"/>
  <c r="F297" i="1"/>
  <c r="I296" i="1"/>
  <c r="I294" i="1" s="1"/>
  <c r="G296" i="1"/>
  <c r="F296" i="1"/>
  <c r="F294" i="1" s="1"/>
  <c r="I295" i="1"/>
  <c r="G295" i="1"/>
  <c r="F295" i="1"/>
  <c r="G294" i="1"/>
  <c r="H294" i="1" s="1"/>
  <c r="I293" i="1"/>
  <c r="G293" i="1"/>
  <c r="H293" i="1" s="1"/>
  <c r="F293" i="1"/>
  <c r="I292" i="1"/>
  <c r="G292" i="1"/>
  <c r="H292" i="1" s="1"/>
  <c r="F292" i="1"/>
  <c r="I291" i="1"/>
  <c r="G291" i="1"/>
  <c r="H291" i="1" s="1"/>
  <c r="F291" i="1"/>
  <c r="F288" i="1" s="1"/>
  <c r="I290" i="1"/>
  <c r="G290" i="1"/>
  <c r="H290" i="1" s="1"/>
  <c r="F290" i="1"/>
  <c r="I289" i="1"/>
  <c r="G289" i="1"/>
  <c r="H289" i="1" s="1"/>
  <c r="F289" i="1"/>
  <c r="I288" i="1"/>
  <c r="E288" i="1"/>
  <c r="D288" i="1"/>
  <c r="H280" i="1"/>
  <c r="F280" i="1"/>
  <c r="D262" i="1"/>
  <c r="H261" i="1"/>
  <c r="F261" i="1"/>
  <c r="E261" i="1"/>
  <c r="H260" i="1"/>
  <c r="F260" i="1"/>
  <c r="G260" i="1" s="1"/>
  <c r="E260" i="1"/>
  <c r="H259" i="1"/>
  <c r="F259" i="1"/>
  <c r="G259" i="1" s="1"/>
  <c r="E259" i="1"/>
  <c r="H258" i="1"/>
  <c r="H262" i="1" s="1"/>
  <c r="F258" i="1"/>
  <c r="G258" i="1" s="1"/>
  <c r="E258" i="1"/>
  <c r="E262" i="1" s="1"/>
  <c r="D251" i="1"/>
  <c r="D207" i="1"/>
  <c r="G206" i="1"/>
  <c r="H205" i="1"/>
  <c r="G205" i="1"/>
  <c r="F205" i="1"/>
  <c r="E205" i="1"/>
  <c r="H204" i="1"/>
  <c r="H207" i="1" s="1"/>
  <c r="F204" i="1"/>
  <c r="F207" i="1" s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F178" i="1" s="1"/>
  <c r="G178" i="1" s="1"/>
  <c r="E180" i="1"/>
  <c r="H179" i="1"/>
  <c r="H178" i="1" s="1"/>
  <c r="F179" i="1"/>
  <c r="E179" i="1"/>
  <c r="E178" i="1"/>
  <c r="E184" i="1" s="1"/>
  <c r="H177" i="1"/>
  <c r="G177" i="1"/>
  <c r="F177" i="1"/>
  <c r="E177" i="1"/>
  <c r="H176" i="1"/>
  <c r="F176" i="1"/>
  <c r="E176" i="1"/>
  <c r="H175" i="1"/>
  <c r="F175" i="1"/>
  <c r="G175" i="1" s="1"/>
  <c r="E175" i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I139" i="1" s="1"/>
  <c r="G140" i="1"/>
  <c r="H140" i="1" s="1"/>
  <c r="F140" i="1"/>
  <c r="F139" i="1" s="1"/>
  <c r="E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G134" i="1"/>
  <c r="E134" i="1"/>
  <c r="E133" i="1"/>
  <c r="E150" i="1" s="1"/>
  <c r="I132" i="1"/>
  <c r="F132" i="1"/>
  <c r="H131" i="1"/>
  <c r="I130" i="1"/>
  <c r="G130" i="1"/>
  <c r="H130" i="1" s="1"/>
  <c r="F130" i="1"/>
  <c r="I129" i="1"/>
  <c r="G129" i="1"/>
  <c r="H129" i="1" s="1"/>
  <c r="H128" i="1" s="1"/>
  <c r="F129" i="1"/>
  <c r="I128" i="1"/>
  <c r="G128" i="1"/>
  <c r="F128" i="1"/>
  <c r="F150" i="1" s="1"/>
  <c r="E128" i="1"/>
  <c r="C126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I96" i="1" s="1"/>
  <c r="I95" i="1" s="1"/>
  <c r="H97" i="1"/>
  <c r="G97" i="1"/>
  <c r="F97" i="1"/>
  <c r="G96" i="1"/>
  <c r="G95" i="1" s="1"/>
  <c r="F96" i="1"/>
  <c r="F95" i="1" s="1"/>
  <c r="E96" i="1"/>
  <c r="E95" i="1" s="1"/>
  <c r="E107" i="1" s="1"/>
  <c r="D96" i="1"/>
  <c r="D95" i="1"/>
  <c r="D107" i="1" s="1"/>
  <c r="I94" i="1"/>
  <c r="H94" i="1"/>
  <c r="G94" i="1"/>
  <c r="F94" i="1"/>
  <c r="I93" i="1"/>
  <c r="G93" i="1"/>
  <c r="G92" i="1" s="1"/>
  <c r="G107" i="1" s="1"/>
  <c r="F93" i="1"/>
  <c r="F92" i="1" s="1"/>
  <c r="F107" i="1" s="1"/>
  <c r="I92" i="1"/>
  <c r="I107" i="1" s="1"/>
  <c r="E92" i="1"/>
  <c r="C89" i="1"/>
  <c r="H85" i="1"/>
  <c r="F85" i="1"/>
  <c r="D85" i="1"/>
  <c r="G61" i="1"/>
  <c r="G60" i="1"/>
  <c r="H55" i="1"/>
  <c r="F55" i="1"/>
  <c r="G55" i="1" s="1"/>
  <c r="E55" i="1"/>
  <c r="F32" i="1" s="1"/>
  <c r="F27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G35" i="1"/>
  <c r="G34" i="1" s="1"/>
  <c r="F35" i="1"/>
  <c r="I33" i="1"/>
  <c r="G33" i="1"/>
  <c r="H33" i="1" s="1"/>
  <c r="F33" i="1"/>
  <c r="I32" i="1"/>
  <c r="H32" i="1"/>
  <c r="G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G27" i="1"/>
  <c r="I25" i="1"/>
  <c r="G25" i="1"/>
  <c r="H25" i="1" s="1"/>
  <c r="F25" i="1"/>
  <c r="I24" i="1"/>
  <c r="I23" i="1" s="1"/>
  <c r="G24" i="1"/>
  <c r="H24" i="1" s="1"/>
  <c r="F24" i="1"/>
  <c r="G23" i="1"/>
  <c r="F23" i="1"/>
  <c r="H16" i="1"/>
  <c r="F16" i="1"/>
  <c r="D16" i="1"/>
  <c r="H134" i="1" l="1"/>
  <c r="F34" i="1"/>
  <c r="F26" i="1" s="1"/>
  <c r="F44" i="1" s="1"/>
  <c r="I27" i="1"/>
  <c r="I34" i="1"/>
  <c r="I26" i="1" s="1"/>
  <c r="I44" i="1" s="1"/>
  <c r="E331" i="1"/>
  <c r="H27" i="1"/>
  <c r="G207" i="1"/>
  <c r="H34" i="1"/>
  <c r="H26" i="1" s="1"/>
  <c r="G26" i="1"/>
  <c r="G44" i="1" s="1"/>
  <c r="I133" i="1"/>
  <c r="H184" i="1"/>
  <c r="F299" i="1"/>
  <c r="G331" i="1"/>
  <c r="H288" i="1"/>
  <c r="H299" i="1" s="1"/>
  <c r="H23" i="1"/>
  <c r="H96" i="1"/>
  <c r="H95" i="1" s="1"/>
  <c r="I150" i="1"/>
  <c r="I299" i="1"/>
  <c r="H139" i="1"/>
  <c r="H133" i="1" s="1"/>
  <c r="H150" i="1" s="1"/>
  <c r="G288" i="1"/>
  <c r="G299" i="1" s="1"/>
  <c r="G204" i="1"/>
  <c r="F262" i="1"/>
  <c r="G262" i="1" s="1"/>
  <c r="H35" i="1"/>
  <c r="H93" i="1"/>
  <c r="H92" i="1" s="1"/>
  <c r="H107" i="1" s="1"/>
  <c r="G139" i="1"/>
  <c r="G133" i="1" s="1"/>
  <c r="G150" i="1" s="1"/>
  <c r="F184" i="1"/>
  <c r="G184" i="1" s="1"/>
  <c r="F331" i="1"/>
  <c r="H44" i="1" l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<sst xmlns="http://schemas.openxmlformats.org/spreadsheetml/2006/main" count="330" uniqueCount="148">
  <si>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</si>
  <si>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</si>
  <si>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</si>
  <si>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</si>
  <si>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</si>
  <si>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</si>
  <si>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</si>
  <si>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</si>
  <si>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</si>
  <si>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</si>
  <si>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</si>
  <si>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</si>
  <si>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</si>
  <si>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</si>
  <si>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</si>
  <si>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</si>
  <si>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</si>
  <si>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</si>
  <si>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</si>
  <si>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</si>
  <si>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</si>
  <si>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</si>
  <si>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</si>
  <si>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</si>
  <si>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</si>
  <si>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</si>
  <si>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</si>
  <si>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</si>
  <si>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</si>
  <si>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</si>
  <si>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</si>
  <si>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</si>
  <si>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</si>
  <si>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</si>
  <si>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</si>
  <si>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</si>
  <si>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</si>
  <si>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</si>
  <si>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</si>
  <si>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</si>
  <si>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</si>
  <si>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</si>
  <si>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</si>
  <si>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</si>
  <si>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</si>
  <si>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</si>
  <si>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</si>
  <si>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</si>
  <si>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</si>
  <si>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</si>
  <si>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</si>
  <si>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</si>
  <si>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</si>
  <si>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</si>
  <si>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</si>
  <si>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</si>
  <si>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</si>
  <si>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</si>
  <si>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</si>
  <si>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</si>
  <si>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</si>
  <si>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</si>
  <si>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</si>
  <si>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</si>
  <si>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</si>
  <si>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</si>
  <si>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</si>
  <si>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</si>
  <si>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</si>
  <si>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</si>
  <si>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</si>
  <si>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</si>
  <si>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</si>
  <si>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</si>
  <si>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</si>
  <si>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</si>
  <si>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</si>
  <si>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</si>
  <si>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</si>
  <si>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</si>
  <si>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</si>
  <si>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</si>
  <si>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</si>
  <si>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</si>
  <si>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</si>
  <si>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</si>
  <si>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</si>
  <si>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</si>
  <si>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</si>
  <si>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</si>
  <si>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</si>
  <si>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</si>
  <si>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</si>
  <si>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</si>
  <si>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</si>
  <si>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</si>
  <si>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</si>
  <si>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</si>
  <si>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</si>
  <si>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</si>
  <si>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</si>
  <si>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</si>
  <si>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</si>
  <si>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</si>
  <si>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</si>
  <si>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</si>
  <si>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</si>
  <si>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</si>
  <si>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</si>
  <si>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</si>
  <si>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</si>
  <si>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</si>
  <si>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</si>
  <si>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</si>
  <si>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</si>
  <si>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</si>
  <si>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</si>
  <si>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</si>
  <si>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</si>
  <si>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</si>
  <si>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</si>
  <si>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</si>
  <si>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</si>
  <si>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</si>
  <si>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</si>
  <si>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</si>
  <si>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</si>
  <si>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</si>
  <si>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</si>
  <si>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</si>
  <si>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</si>
  <si>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</si>
  <si>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</si>
  <si>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</si>
  <si>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</si>
  <si>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</si>
  <si>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</si>
  <si>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</si>
  <si>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</si>
  <si>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</si>
  <si>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20</t>
  </si>
  <si>
    <t>FANGST T.O.M UKE 20</t>
  </si>
  <si>
    <t>RESTKVOTER UKE 20</t>
  </si>
  <si>
    <t>FANGST T.O.M UKE 20 2022</t>
  </si>
  <si>
    <r>
      <t xml:space="preserve">3 </t>
    </r>
    <r>
      <rPr>
        <sz val="9"/>
        <color indexed="8"/>
        <rFont val="Calibri"/>
        <family val="2"/>
      </rPr>
      <t>Registrert rekreasjonsfiske utgjør 469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</si>
  <si>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40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</si>
  <si>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238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</si>
  <si>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1372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</si>
</sst>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="85" zoomScaleNormal="85" zoomScaleSheetLayoutView="100" zoomScalePageLayoutView="85" workbookViewId="0">
      <selection activeCell="F8" sqref="F8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138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640.17600000000004</v>
      </c>
      <c r="G23" s="28">
        <f t="shared" si="0"/>
        <v>42237.548120000007</v>
      </c>
      <c r="H23" s="11">
        <f t="shared" si="0"/>
        <v>44589.451879999993</v>
      </c>
      <c r="I23" s="11">
        <f t="shared" si="0"/>
        <v>50239.018759999999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638.688</f>
        <v>638.68799999999999</v>
      </c>
      <c r="G24" s="23">
        <f>42044.41763</f>
        <v>42044.417630000004</v>
      </c>
      <c r="H24" s="23">
        <f>E24-G24</f>
        <v>44000.582369999996</v>
      </c>
      <c r="I24" s="23">
        <f>49938.81129</f>
        <v>49938.811289999998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1.488</f>
        <v>1.488</v>
      </c>
      <c r="G25" s="23">
        <f>193.13049</f>
        <v>193.13049000000001</v>
      </c>
      <c r="H25" s="23">
        <f>E25-G25</f>
        <v>588.86950999999999</v>
      </c>
      <c r="I25" s="23">
        <f>300.20747</f>
        <v>300.20747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1847.45865</v>
      </c>
      <c r="G26" s="11">
        <f t="shared" si="1"/>
        <v>157930.30192</v>
      </c>
      <c r="H26" s="11">
        <f t="shared" si="1"/>
        <v>39639.698080000002</v>
      </c>
      <c r="I26" s="11">
        <f t="shared" si="1"/>
        <v>188741.62783999997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1264.97371</v>
      </c>
      <c r="G27" s="134">
        <f t="shared" ref="G27:I27" si="2">G28+G29+G30+G31+G32</f>
        <v>126478.82539</v>
      </c>
      <c r="H27" s="134">
        <f t="shared" si="2"/>
        <v>26172.174609999998</v>
      </c>
      <c r="I27" s="134">
        <f t="shared" si="2"/>
        <v>157664.45525999999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352.58935</f>
        <v>352.58935000000002</v>
      </c>
      <c r="G28" s="129">
        <f>35149.89437 - F57</f>
        <v>35149.894370000002</v>
      </c>
      <c r="H28" s="129">
        <f t="shared" ref="H28:H40" si="3">E28-G28</f>
        <v>4399.1056299999982</v>
      </c>
      <c r="I28" s="129">
        <f>40382.38986 - H57</f>
        <v>40382.389860000003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293.75417</f>
        <v>293.75416999999999</v>
      </c>
      <c r="G29" s="129">
        <f>35851.07089 - F58</f>
        <v>35851.070890000003</v>
      </c>
      <c r="H29" s="129">
        <f t="shared" si="3"/>
        <v>4912.9291099999973</v>
      </c>
      <c r="I29" s="129">
        <f>43124.03715 - H58</f>
        <v>43124.037149999996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404.08125</f>
        <v>404.08125000000001</v>
      </c>
      <c r="G30" s="129">
        <f>32880.61749 - F59</f>
        <v>32880.617489999997</v>
      </c>
      <c r="H30" s="129">
        <f t="shared" si="3"/>
        <v>4386.3825100000031</v>
      </c>
      <c r="I30" s="129">
        <f>42886.82271 - H59</f>
        <v>42886.82271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214.54894</f>
        <v>214.54893999999999</v>
      </c>
      <c r="G31" s="129">
        <f>22597.24264 - F60</f>
        <v>22597.24264</v>
      </c>
      <c r="H31" s="129">
        <f t="shared" si="3"/>
        <v>2809.7573599999996</v>
      </c>
      <c r="I31" s="129">
        <f>31271.20554 - H60</f>
        <v>31271.205539999999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0.1485</f>
        <v>0.14849999999999999</v>
      </c>
      <c r="G33" s="134">
        <f>12482.41443</f>
        <v>12482.414430000001</v>
      </c>
      <c r="H33" s="134">
        <f t="shared" si="3"/>
        <v>11103.585569999999</v>
      </c>
      <c r="I33" s="134">
        <f>13788.15379</f>
        <v>13788.15379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582.33644000000004</v>
      </c>
      <c r="G34" s="134">
        <f>G35+G36</f>
        <v>18969.062099999999</v>
      </c>
      <c r="H34" s="134">
        <f t="shared" si="3"/>
        <v>2363.9379000000008</v>
      </c>
      <c r="I34" s="134">
        <f>I35+I36</f>
        <v>17289.018789999998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582.33644</f>
        <v>582.33644000000004</v>
      </c>
      <c r="G35" s="134">
        <f>22469.0621 - F61 - F62</f>
        <v>18969.062099999999</v>
      </c>
      <c r="H35" s="129">
        <f t="shared" si="3"/>
        <v>1163.9379000000008</v>
      </c>
      <c r="I35" s="129">
        <f>18560.01879 - H61 - H62</f>
        <v>17289.018789999998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23.376</f>
        <v>23.376000000000001</v>
      </c>
      <c r="G37" s="141">
        <f>224.4804</f>
        <v>224.4804</v>
      </c>
      <c r="H37" s="141">
        <f t="shared" si="3"/>
        <v>2775.5196000000001</v>
      </c>
      <c r="I37" s="141">
        <f>318.68265</f>
        <v>318.68265000000002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0</f>
        <v>0</v>
      </c>
      <c r="G38" s="100">
        <f>455.66382</f>
        <v>455.66381999999999</v>
      </c>
      <c r="H38" s="100">
        <f t="shared" si="3"/>
        <v>395.33618000000001</v>
      </c>
      <c r="I38" s="100">
        <f>425.80815</f>
        <v>425.80815000000001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213</v>
      </c>
      <c r="G39" s="100">
        <f>F61</f>
        <v>3500</v>
      </c>
      <c r="H39" s="100">
        <f t="shared" si="3"/>
        <v>-452</v>
      </c>
      <c r="I39" s="100">
        <f>H61</f>
        <v>1271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8.90434</f>
        <v>8.9043399999999995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2732.9179899999999</v>
      </c>
      <c r="G44" s="78">
        <f t="shared" si="4"/>
        <v>211427.55525999999</v>
      </c>
      <c r="H44" s="78">
        <f t="shared" si="4"/>
        <v>87268.444739999963</v>
      </c>
      <c r="I44" s="78">
        <f t="shared" si="4"/>
        <v>248117.07582999996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144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213</v>
      </c>
      <c r="F61" s="141">
        <v>3500</v>
      </c>
      <c r="G61" s="141">
        <f>D61-F61</f>
        <v>-500</v>
      </c>
      <c r="H61" s="141">
        <v>1271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139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58.828000000000003</v>
      </c>
      <c r="G92" s="11">
        <f t="shared" si="5"/>
        <v>38596.480920000002</v>
      </c>
      <c r="H92" s="11">
        <f t="shared" si="5"/>
        <v>-3797.48092</v>
      </c>
      <c r="I92" s="11">
        <f t="shared" si="5"/>
        <v>33647.454889999994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57.1634</f>
        <v>57.163400000000003</v>
      </c>
      <c r="G93" s="23">
        <f>38111.79378</f>
        <v>38111.79378</v>
      </c>
      <c r="H93" s="23">
        <f>E93-G93</f>
        <v>-4124.79378</v>
      </c>
      <c r="I93" s="23">
        <f>33007.26422</f>
        <v>33007.264219999997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1.6646</f>
        <v>1.6646000000000001</v>
      </c>
      <c r="G94" s="52">
        <f>484.68714</f>
        <v>484.68714</v>
      </c>
      <c r="H94" s="52">
        <f>E94-G94</f>
        <v>327.31286</v>
      </c>
      <c r="I94" s="52">
        <f>640.19067</f>
        <v>640.19066999999995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848.45582000000002</v>
      </c>
      <c r="G95" s="11">
        <f t="shared" si="6"/>
        <v>16041.345369999999</v>
      </c>
      <c r="H95" s="11">
        <f t="shared" si="6"/>
        <v>43458.654630000005</v>
      </c>
      <c r="I95" s="11">
        <f t="shared" si="6"/>
        <v>19522.336589999999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834.75755000000004</v>
      </c>
      <c r="G96" s="134">
        <f t="shared" si="7"/>
        <v>10900.73321</v>
      </c>
      <c r="H96" s="134">
        <f t="shared" si="7"/>
        <v>33590.266790000001</v>
      </c>
      <c r="I96" s="134">
        <f t="shared" si="7"/>
        <v>14571.784919999998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79.27204</f>
        <v>79.272040000000004</v>
      </c>
      <c r="G97" s="129">
        <f>2085.88871</f>
        <v>2085.8887100000002</v>
      </c>
      <c r="H97" s="129">
        <f t="shared" ref="H97:H104" si="8">E97-G97</f>
        <v>9797.8112900000015</v>
      </c>
      <c r="I97" s="129">
        <f>2173.9984</f>
        <v>2173.9983999999999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286.21302</f>
        <v>286.21301999999997</v>
      </c>
      <c r="G98" s="129">
        <f>3291.03192</f>
        <v>3291.0319199999999</v>
      </c>
      <c r="H98" s="129">
        <f t="shared" si="8"/>
        <v>9374.0680800000009</v>
      </c>
      <c r="I98" s="129">
        <f>4699.21037</f>
        <v>4699.2103699999998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235.30245</f>
        <v>235.30244999999999</v>
      </c>
      <c r="G99" s="129">
        <f>2704.08104</f>
        <v>2704.08104</v>
      </c>
      <c r="H99" s="129">
        <f t="shared" si="8"/>
        <v>9261.5189600000012</v>
      </c>
      <c r="I99" s="129">
        <f>4558.69207</f>
        <v>4558.6920700000001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233.97004</f>
        <v>233.97004000000001</v>
      </c>
      <c r="G100" s="129">
        <f>2819.73154</f>
        <v>2819.7315400000002</v>
      </c>
      <c r="H100" s="129">
        <f t="shared" si="8"/>
        <v>5156.8684599999997</v>
      </c>
      <c r="I100" s="129">
        <f>3139.88408</f>
        <v>3139.8840799999998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0.0464</f>
        <v>4.6399999999999997E-2</v>
      </c>
      <c r="G101" s="134">
        <f>4006.21516</f>
        <v>4006.2151600000002</v>
      </c>
      <c r="H101" s="134">
        <f t="shared" si="8"/>
        <v>6384.7848400000003</v>
      </c>
      <c r="I101" s="134">
        <f>4087.81922</f>
        <v>4087.8192199999999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13.65187</f>
        <v>13.651870000000001</v>
      </c>
      <c r="G102" s="77">
        <f>1134.397</f>
        <v>1134.3969999999999</v>
      </c>
      <c r="H102" s="77">
        <f t="shared" si="8"/>
        <v>3483.6030000000001</v>
      </c>
      <c r="I102" s="77">
        <f>862.73245</f>
        <v>862.73244999999997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0.23848</f>
        <v>0.23848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907.52229999999997</v>
      </c>
      <c r="G107" s="78">
        <f t="shared" si="9"/>
        <v>54957.842759999985</v>
      </c>
      <c r="H107" s="78">
        <f t="shared" si="9"/>
        <v>40011.157240000015</v>
      </c>
      <c r="I107" s="78">
        <f t="shared" si="9"/>
        <v>53535.521089999995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145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468.2799</v>
      </c>
      <c r="G128" s="11">
        <f t="shared" si="10"/>
        <v>33363.982980000001</v>
      </c>
      <c r="H128" s="11">
        <f t="shared" si="10"/>
        <v>37177.017019999999</v>
      </c>
      <c r="I128" s="11">
        <f t="shared" si="10"/>
        <v>33210.033009999999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344.9493</f>
        <v>344.94929999999999</v>
      </c>
      <c r="G129" s="23">
        <f>28860.9166</f>
        <v>28860.9166</v>
      </c>
      <c r="H129" s="23">
        <f>E129-G129</f>
        <v>27231.0834</v>
      </c>
      <c r="I129" s="23">
        <f>27471.92735</f>
        <v>27471.927350000002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123.3306</f>
        <v>123.3306</v>
      </c>
      <c r="G130" s="23">
        <f>4503.06638</f>
        <v>4503.0663800000002</v>
      </c>
      <c r="H130" s="23">
        <f>E130-G130</f>
        <v>9445.9336199999998</v>
      </c>
      <c r="I130" s="23">
        <f>5738.10566</f>
        <v>5738.1056600000002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577.13088</f>
        <v>577.13088000000005</v>
      </c>
      <c r="G132" s="97">
        <f>5583.72641+1372.321245</f>
        <v>6956.0476550000003</v>
      </c>
      <c r="H132" s="97">
        <f>E132-G132</f>
        <v>42215.952344999998</v>
      </c>
      <c r="I132" s="97">
        <f>4465.45354</f>
        <v>4465.4535400000004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306.55457999999999</v>
      </c>
      <c r="G133" s="96">
        <f t="shared" ref="G133" si="11">G134+G139+G142</f>
        <v>42190.257344999998</v>
      </c>
      <c r="H133" s="96">
        <f>H134+H139+H142</f>
        <v>38749.742654999995</v>
      </c>
      <c r="I133" s="96">
        <f>I134+I139+I142</f>
        <v>39175.579009999994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218.86532</v>
      </c>
      <c r="G134" s="127">
        <f>G135+G136+G138+G137</f>
        <v>33052.973834999997</v>
      </c>
      <c r="H134" s="127">
        <f>H135+H136+H137+H138</f>
        <v>26451.026164999999</v>
      </c>
      <c r="I134" s="127">
        <f>I135+I136+I137+I138</f>
        <v>31174.767979999997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72.13344</f>
        <v>72.133439999999993</v>
      </c>
      <c r="G135" s="129">
        <v>5462.6555799999996</v>
      </c>
      <c r="H135" s="129">
        <f>E135-G135</f>
        <v>12041.344420000001</v>
      </c>
      <c r="I135" s="129">
        <f>4312.90189</f>
        <v>4312.9018900000001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38.23215</f>
        <v>38.232149999999997</v>
      </c>
      <c r="G136" s="129">
        <v>9707.3022700000001</v>
      </c>
      <c r="H136" s="129">
        <f>E136-G136</f>
        <v>5376.6977299999999</v>
      </c>
      <c r="I136" s="129">
        <f>7732.30045</f>
        <v>7732.3004499999997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67.64128</f>
        <v>67.641279999999995</v>
      </c>
      <c r="G137" s="129">
        <v>8776.2797499999997</v>
      </c>
      <c r="H137" s="129">
        <f>E137-G137</f>
        <v>6246.7202500000003</v>
      </c>
      <c r="I137" s="129">
        <f>9747.77079</f>
        <v>9747.7707900000005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40.85845</f>
        <v>40.858449999999998</v>
      </c>
      <c r="G138" s="129">
        <v>9106.7362350000003</v>
      </c>
      <c r="H138" s="129">
        <f>E138-G138</f>
        <v>2786.2637649999997</v>
      </c>
      <c r="I138" s="129">
        <f>9381.79485</f>
        <v>9381.7948500000002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0.26055</v>
      </c>
      <c r="G139" s="134">
        <f>SUM(G140:G141)</f>
        <v>6115.8316000000004</v>
      </c>
      <c r="H139" s="134">
        <f>H140+H141</f>
        <v>3316.1684</v>
      </c>
      <c r="I139" s="134">
        <f>SUM(I140:I141)</f>
        <v>5431.2134599999999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0</f>
        <v>0</v>
      </c>
      <c r="G140" s="129">
        <f>5993.96662</f>
        <v>5993.9666200000001</v>
      </c>
      <c r="H140" s="129">
        <f t="shared" ref="H140:H147" si="12">E140-G140</f>
        <v>2938.0333799999999</v>
      </c>
      <c r="I140" s="129">
        <f>5334.69665</f>
        <v>5334.6966499999999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0.26055</f>
        <v>0.26055</v>
      </c>
      <c r="G141" s="129">
        <f>121.86498</f>
        <v>121.86498</v>
      </c>
      <c r="H141" s="129">
        <f t="shared" si="12"/>
        <v>378.13502</v>
      </c>
      <c r="I141" s="129">
        <f>96.51681</f>
        <v>96.516810000000007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87.42871</f>
        <v>87.428709999999995</v>
      </c>
      <c r="G142" s="77">
        <f>3021.45191</f>
        <v>3021.4519100000002</v>
      </c>
      <c r="H142" s="77">
        <f t="shared" si="12"/>
        <v>8982.5480900000002</v>
      </c>
      <c r="I142" s="77">
        <f>2569.59757</f>
        <v>2569.5975699999999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21.32725</f>
        <v>21.327249999999999</v>
      </c>
      <c r="H143" s="141">
        <f t="shared" si="12"/>
        <v>115.67275000000001</v>
      </c>
      <c r="I143" s="141">
        <f>21.34802</f>
        <v>21.348020000000002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188.032</f>
        <v>188.03200000000001</v>
      </c>
      <c r="H144" s="100">
        <f t="shared" si="12"/>
        <v>61.967999999999989</v>
      </c>
      <c r="I144" s="100">
        <f>99.527</f>
        <v>99.527000000000001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8.50537</f>
        <v>8.5053699999999992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1360.4707300000002</v>
      </c>
      <c r="G150" s="78">
        <f>G128+G132+G133+G143+G144+G145+G146+G147+G148</f>
        <v>84719.647230000002</v>
      </c>
      <c r="H150" s="78">
        <f>H128+H132+H133+H143+H144+H145+H146+H147+H148</f>
        <v>118515.35276999998</v>
      </c>
      <c r="I150" s="78">
        <f>I128+I132+I133+I143+I144+I145+I146+I147+I148</f>
        <v>78971.940579999995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147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146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9.44835</f>
        <v>9.4483499999999996</v>
      </c>
      <c r="F175" s="274">
        <f>652.41716</f>
        <v>652.41715999999997</v>
      </c>
      <c r="G175" s="45">
        <f>D175-F175-F176</f>
        <v>3852.6797500000002</v>
      </c>
      <c r="H175" s="274">
        <f>478.80134</f>
        <v>478.80133999999998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94.734</f>
        <v>94.733999999999995</v>
      </c>
      <c r="F176" s="154">
        <f>482.90309</f>
        <v>482.90309000000002</v>
      </c>
      <c r="G176" s="215"/>
      <c r="H176" s="154">
        <f>664.21529</f>
        <v>664.21528999999998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32.42226</f>
        <v>32.422260000000001</v>
      </c>
      <c r="G177" s="174">
        <f>D177-F177</f>
        <v>167.57774000000001</v>
      </c>
      <c r="H177" s="174">
        <f>46.89926</f>
        <v>46.899259999999998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4.9401200000000003</v>
      </c>
      <c r="F178" s="183">
        <f>F179+F180+F181</f>
        <v>35.51932</v>
      </c>
      <c r="G178" s="183">
        <f>D178-F178</f>
        <v>7445.4806799999997</v>
      </c>
      <c r="H178" s="183">
        <f>H179+H180+H181</f>
        <v>49.087340000000005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0.58068</f>
        <v>0.58067999999999997</v>
      </c>
      <c r="F179" s="129">
        <f>10.90112</f>
        <v>10.901120000000001</v>
      </c>
      <c r="G179" s="129"/>
      <c r="H179" s="129">
        <f>8.0358</f>
        <v>8.0358000000000001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4.35944</f>
        <v>4.3594400000000002</v>
      </c>
      <c r="F180" s="129">
        <f>23.51408</f>
        <v>23.51408</v>
      </c>
      <c r="G180" s="129"/>
      <c r="H180" s="129">
        <f>33.46929</f>
        <v>33.469290000000001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1.10412</f>
        <v>1.10412</v>
      </c>
      <c r="G181" s="194"/>
      <c r="H181" s="194">
        <f>7.58225</f>
        <v>7.5822500000000002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109.12246999999999</v>
      </c>
      <c r="F184" s="196">
        <f>F175+F176+F177+F178+F182+F183</f>
        <v>1203.2618300000001</v>
      </c>
      <c r="G184" s="196">
        <f>D184-F184</f>
        <v>11531.738170000001</v>
      </c>
      <c r="H184" s="196">
        <f>H175+H176+H177+H178+H182+H183</f>
        <v>1239.00323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435.21144</f>
        <v>435.21143999999998</v>
      </c>
      <c r="F204" s="124">
        <f>8791.10376</f>
        <v>8791.10376</v>
      </c>
      <c r="G204" s="124">
        <f>D204-F204</f>
        <v>35047.896240000002</v>
      </c>
      <c r="H204" s="124">
        <f>6634.8849</f>
        <v>6634.8849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0.2143</f>
        <v>0.21429999999999999</v>
      </c>
      <c r="F205" s="124">
        <f>2.49643</f>
        <v>2.4964300000000001</v>
      </c>
      <c r="G205" s="124">
        <f>D205-F205</f>
        <v>97.503569999999996</v>
      </c>
      <c r="H205" s="124">
        <f>20.01776</f>
        <v>20.017759999999999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435.42573999999996</v>
      </c>
      <c r="F207" s="190">
        <f>SUM(F204:F206)</f>
        <v>8793.6001899999992</v>
      </c>
      <c r="G207" s="190">
        <f>D207-F207</f>
        <v>35187.399810000003</v>
      </c>
      <c r="H207" s="190">
        <f>SUM(H204:H206)</f>
        <v>6654.9026599999997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140</v>
      </c>
      <c r="F257" s="68" t="s">
        <v>141</v>
      </c>
      <c r="G257" s="68" t="s">
        <v>142</v>
      </c>
      <c r="H257" s="68" t="s">
        <v>143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9.76822</f>
        <v>9.7682199999999995</v>
      </c>
      <c r="F258" s="124">
        <f>180.85236</f>
        <v>180.85236</v>
      </c>
      <c r="G258" s="124">
        <f>D258-F258</f>
        <v>619.14764000000002</v>
      </c>
      <c r="H258" s="124">
        <f>110.07204</f>
        <v>110.07204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21.81655</f>
        <v>21.816549999999999</v>
      </c>
      <c r="F259" s="124">
        <f>517.10406</f>
        <v>517.10406</v>
      </c>
      <c r="G259" s="124">
        <f>D259-F259</f>
        <v>1976.8959399999999</v>
      </c>
      <c r="H259" s="124">
        <f>336.0863</f>
        <v>336.08629999999999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0.6352</f>
        <v>0.63519999999999999</v>
      </c>
      <c r="G260" s="124">
        <f>D260-F260</f>
        <v>4.3647999999999998</v>
      </c>
      <c r="H260" s="168">
        <f>0.9169</f>
        <v>0.91690000000000005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</f>
        <v>0</v>
      </c>
      <c r="F261" s="168">
        <f>0.57632</f>
        <v>0.57632000000000005</v>
      </c>
      <c r="G261" s="124"/>
      <c r="H261" s="168">
        <f>2.8865</f>
        <v>2.8864999999999998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31.584769999999999</v>
      </c>
      <c r="F262" s="190">
        <f>SUM(F258:F261)</f>
        <v>699.16794000000004</v>
      </c>
      <c r="G262" s="190">
        <f>D262-F262</f>
        <v>2599.8320599999997</v>
      </c>
      <c r="H262" s="190">
        <f>H258+H259+H260+H261</f>
        <v>449.96174000000002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hidden="1" customHeight="1" x14ac:dyDescent="0.25">
      <c r="A268" s="1"/>
      <c r="C268" s="152" t="s">
        <v>120</v>
      </c>
    </row>
    <row r="269" spans="1:10" hidden="1" x14ac:dyDescent="0.25">
      <c r="A269" s="1"/>
      <c r="C269" s="152" t="s">
        <v>120</v>
      </c>
    </row>
    <row r="270" spans="1:10" ht="14.1" hidden="1" customHeight="1" x14ac:dyDescent="0.25">
      <c r="A270" s="1"/>
      <c r="C270" s="152" t="s">
        <v>120</v>
      </c>
    </row>
    <row r="271" spans="1:10" ht="14.1" hidden="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140</v>
      </c>
      <c r="G287" s="221" t="s">
        <v>141</v>
      </c>
      <c r="H287" s="221" t="s">
        <v>142</v>
      </c>
      <c r="I287" s="221" t="s">
        <v>143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88.918350000000004</v>
      </c>
      <c r="G288" s="251">
        <f t="shared" si="14"/>
        <v>4079.9915700000001</v>
      </c>
      <c r="H288" s="251">
        <f>H292+H291+H290+H289</f>
        <v>12022.008429999998</v>
      </c>
      <c r="I288" s="251">
        <f t="shared" si="14"/>
        <v>1937.3926200000001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42.80715</f>
        <v>42.80715</v>
      </c>
      <c r="G289" s="255">
        <f>1953.44012</f>
        <v>1953.44012</v>
      </c>
      <c r="H289" s="255">
        <f t="shared" ref="H289:H293" si="15">E289-G289</f>
        <v>6223.5598799999998</v>
      </c>
      <c r="I289" s="255">
        <f>639.9513</f>
        <v>639.95129999999995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764.7831</f>
        <v>764.78309999999999</v>
      </c>
      <c r="H290" s="255">
        <f t="shared" si="15"/>
        <v>1363.2168999999999</v>
      </c>
      <c r="I290" s="255">
        <f>490.4118</f>
        <v>490.41180000000003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33.3978</f>
        <v>33.397799999999997</v>
      </c>
      <c r="G291" s="255">
        <f>1004.67865</f>
        <v>1004.6786499999999</v>
      </c>
      <c r="H291" s="255">
        <f t="shared" si="15"/>
        <v>352.32135000000005</v>
      </c>
      <c r="I291" s="255">
        <f>784.29592</f>
        <v>784.29592000000002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12.7134</f>
        <v>12.7134</v>
      </c>
      <c r="G292" s="255">
        <f>357.0897</f>
        <v>357.08969999999999</v>
      </c>
      <c r="H292" s="255">
        <f t="shared" si="15"/>
        <v>4082.9103</v>
      </c>
      <c r="I292" s="255">
        <f>22.7336</f>
        <v>22.733599999999999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69.53394</f>
        <v>69.533940000000001</v>
      </c>
      <c r="G293" s="266">
        <f>3936.69964</f>
        <v>3936.6996399999998</v>
      </c>
      <c r="H293" s="266">
        <f t="shared" si="15"/>
        <v>1563.3003600000002</v>
      </c>
      <c r="I293" s="266">
        <f>2777.1082</f>
        <v>2777.1082000000001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3.5216099999999999</v>
      </c>
      <c r="G294" s="267">
        <f>G296+G295</f>
        <v>1697.8370399999999</v>
      </c>
      <c r="H294" s="267">
        <f>E294-G294</f>
        <v>6302.1629599999997</v>
      </c>
      <c r="I294" s="267">
        <f>I296+I295</f>
        <v>1608.71738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746.70325</f>
        <v>746.70325000000003</v>
      </c>
      <c r="H295" s="255"/>
      <c r="I295" s="255">
        <f>891.58649</f>
        <v>891.58649000000003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3.52161</f>
        <v>3.5216099999999999</v>
      </c>
      <c r="G296" s="276">
        <f>951.13379</f>
        <v>951.13378999999998</v>
      </c>
      <c r="H296" s="276"/>
      <c r="I296" s="276">
        <f>717.13089</f>
        <v>717.13089000000002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0.0651</f>
        <v>6.5100000000000005E-2</v>
      </c>
      <c r="H297" s="266">
        <f>E297-G297</f>
        <v>9.9349000000000007</v>
      </c>
      <c r="I297" s="266">
        <f>0.1593</f>
        <v>0.1593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0.01896</f>
        <v>1.8960000000000001E-2</v>
      </c>
      <c r="G298" s="266">
        <f>23.4618</f>
        <v>23.4618</v>
      </c>
      <c r="H298" s="266">
        <f>E298-G298</f>
        <v>-23.4618</v>
      </c>
      <c r="I298" s="266">
        <f>13.61567</f>
        <v>13.61567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161.99286000000001</v>
      </c>
      <c r="G299" s="285">
        <f t="shared" si="16"/>
        <v>9738.0551499999983</v>
      </c>
      <c r="H299" s="285">
        <f>H288+H293+H294+H297+H298</f>
        <v>19873.944849999996</v>
      </c>
      <c r="I299" s="285">
        <f t="shared" si="16"/>
        <v>6336.9931700000006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140</v>
      </c>
      <c r="F320" s="20" t="s">
        <v>141</v>
      </c>
      <c r="G320" s="25" t="s">
        <v>142</v>
      </c>
      <c r="H320" s="20" t="s">
        <v>143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0</v>
      </c>
      <c r="F321" s="26">
        <f>F323+F322</f>
        <v>2192.2196300000001</v>
      </c>
      <c r="G321" s="87">
        <f>D321-F321</f>
        <v>48.780369999999948</v>
      </c>
      <c r="H321" s="26">
        <f>SUM(H322:H323)</f>
        <v>1387.2783300000001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0</f>
        <v>0</v>
      </c>
      <c r="F322" s="207">
        <f>1708.94713</f>
        <v>1708.94713</v>
      </c>
      <c r="G322" s="208"/>
      <c r="H322" s="207">
        <f>1081.99515</f>
        <v>1081.99515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0</f>
        <v>0</v>
      </c>
      <c r="F323" s="210">
        <f>483.2725</f>
        <v>483.27249999999998</v>
      </c>
      <c r="G323" s="211"/>
      <c r="H323" s="210">
        <f>305.28318</f>
        <v>305.28318000000002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63.650399999999998</v>
      </c>
      <c r="F324" s="26">
        <f>SUM(F325:F326)</f>
        <v>257.98701</v>
      </c>
      <c r="G324" s="87">
        <f>D324-F324</f>
        <v>862.01298999999995</v>
      </c>
      <c r="H324" s="26">
        <f>SUM(H325:H326)</f>
        <v>230.08623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44.4745</f>
        <v>44.474499999999999</v>
      </c>
      <c r="F325" s="30">
        <f>185.9205</f>
        <v>185.9205</v>
      </c>
      <c r="G325" s="99"/>
      <c r="H325" s="30">
        <f>174.44206</f>
        <v>174.44206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19.1759</f>
        <v>19.175899999999999</v>
      </c>
      <c r="F326" s="30">
        <f>72.06651</f>
        <v>72.066509999999994</v>
      </c>
      <c r="G326" s="110"/>
      <c r="H326" s="30">
        <f>55.64417</f>
        <v>55.644170000000003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63.650399999999998</v>
      </c>
      <c r="F331" s="42">
        <f>F321+F324+F327+F330</f>
        <v>2450.2066399999999</v>
      </c>
      <c r="G331" s="43">
        <f>SUM(G321:G330)</f>
        <v>910.79335999999989</v>
      </c>
      <c r="H331" s="42">
        <f>H321+H324+H327+H330</f>
        <v>1617.36456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20&amp;R22.05.2023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2023-05-22T07:38:26Z</dcterms:modified>
</cp:coreProperties>
</file>