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JPV7RF9W\"/>
    </mc:Choice>
  </mc:AlternateContent>
  <xr:revisionPtr revIDLastSave="0" documentId="13_ncr:1_{BC0DA5C4-38A9-42E9-AB01-5F10990D14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F345" i="1"/>
  <c r="E345" i="1"/>
  <c r="D345" i="1"/>
  <c r="G344" i="1"/>
  <c r="G343" i="1"/>
  <c r="E336" i="1"/>
  <c r="D324" i="1"/>
  <c r="H323" i="1"/>
  <c r="F323" i="1"/>
  <c r="F324" i="1" s="1"/>
  <c r="E323" i="1"/>
  <c r="E324" i="1" s="1"/>
  <c r="H322" i="1"/>
  <c r="H324" i="1" s="1"/>
  <c r="G322" i="1"/>
  <c r="F322" i="1"/>
  <c r="E322" i="1"/>
  <c r="E315" i="1"/>
  <c r="D304" i="1"/>
  <c r="H303" i="1"/>
  <c r="G303" i="1"/>
  <c r="F303" i="1"/>
  <c r="E303" i="1"/>
  <c r="H302" i="1"/>
  <c r="F302" i="1"/>
  <c r="E302" i="1"/>
  <c r="H301" i="1"/>
  <c r="H300" i="1" s="1"/>
  <c r="F301" i="1"/>
  <c r="E301" i="1"/>
  <c r="E300" i="1" s="1"/>
  <c r="E304" i="1" s="1"/>
  <c r="F300" i="1"/>
  <c r="G300" i="1" s="1"/>
  <c r="H299" i="1"/>
  <c r="H297" i="1" s="1"/>
  <c r="F299" i="1"/>
  <c r="E299" i="1"/>
  <c r="H298" i="1"/>
  <c r="F298" i="1"/>
  <c r="E298" i="1"/>
  <c r="F297" i="1"/>
  <c r="G297" i="1" s="1"/>
  <c r="E297" i="1"/>
  <c r="H296" i="1"/>
  <c r="F296" i="1"/>
  <c r="E296" i="1"/>
  <c r="H295" i="1"/>
  <c r="F295" i="1"/>
  <c r="F294" i="1" s="1"/>
  <c r="E295" i="1"/>
  <c r="H294" i="1"/>
  <c r="E294" i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H266" i="1"/>
  <c r="G266" i="1"/>
  <c r="F266" i="1"/>
  <c r="I265" i="1"/>
  <c r="G265" i="1"/>
  <c r="G262" i="1" s="1"/>
  <c r="F265" i="1"/>
  <c r="I264" i="1"/>
  <c r="H264" i="1"/>
  <c r="G264" i="1"/>
  <c r="F264" i="1"/>
  <c r="I263" i="1"/>
  <c r="G263" i="1"/>
  <c r="H263" i="1" s="1"/>
  <c r="F263" i="1"/>
  <c r="I262" i="1"/>
  <c r="I273" i="1" s="1"/>
  <c r="F262" i="1"/>
  <c r="F273" i="1" s="1"/>
  <c r="E262" i="1"/>
  <c r="D262" i="1"/>
  <c r="H254" i="1"/>
  <c r="F254" i="1"/>
  <c r="D251" i="1"/>
  <c r="D250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F241" i="1" s="1"/>
  <c r="G241" i="1" s="1"/>
  <c r="E238" i="1"/>
  <c r="H237" i="1"/>
  <c r="H241" i="1" s="1"/>
  <c r="G237" i="1"/>
  <c r="F237" i="1"/>
  <c r="E237" i="1"/>
  <c r="E241" i="1" s="1"/>
  <c r="D230" i="1"/>
  <c r="H219" i="1"/>
  <c r="D219" i="1"/>
  <c r="H218" i="1"/>
  <c r="G218" i="1"/>
  <c r="F218" i="1"/>
  <c r="E218" i="1"/>
  <c r="H217" i="1"/>
  <c r="F217" i="1"/>
  <c r="E217" i="1"/>
  <c r="H216" i="1"/>
  <c r="F216" i="1"/>
  <c r="E216" i="1"/>
  <c r="E215" i="1" s="1"/>
  <c r="E219" i="1" s="1"/>
  <c r="H215" i="1"/>
  <c r="G215" i="1"/>
  <c r="F215" i="1"/>
  <c r="F219" i="1" s="1"/>
  <c r="G219" i="1" s="1"/>
  <c r="D206" i="1"/>
  <c r="H205" i="1"/>
  <c r="G205" i="1"/>
  <c r="F205" i="1"/>
  <c r="E205" i="1"/>
  <c r="H204" i="1"/>
  <c r="F204" i="1"/>
  <c r="E204" i="1"/>
  <c r="H203" i="1"/>
  <c r="H202" i="1" s="1"/>
  <c r="H206" i="1" s="1"/>
  <c r="F203" i="1"/>
  <c r="F202" i="1" s="1"/>
  <c r="E203" i="1"/>
  <c r="E202" i="1" s="1"/>
  <c r="E206" i="1" s="1"/>
  <c r="G192" i="1"/>
  <c r="E192" i="1"/>
  <c r="D192" i="1"/>
  <c r="H192" i="1" s="1"/>
  <c r="I191" i="1"/>
  <c r="G191" i="1"/>
  <c r="H191" i="1" s="1"/>
  <c r="F191" i="1"/>
  <c r="I190" i="1"/>
  <c r="I192" i="1" s="1"/>
  <c r="H190" i="1"/>
  <c r="G190" i="1"/>
  <c r="F190" i="1"/>
  <c r="I189" i="1"/>
  <c r="G189" i="1"/>
  <c r="H189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H169" i="1" s="1"/>
  <c r="F164" i="1"/>
  <c r="E164" i="1"/>
  <c r="F163" i="1"/>
  <c r="G163" i="1" s="1"/>
  <c r="E163" i="1"/>
  <c r="H162" i="1"/>
  <c r="G162" i="1"/>
  <c r="F162" i="1"/>
  <c r="E162" i="1"/>
  <c r="H161" i="1"/>
  <c r="F161" i="1"/>
  <c r="E161" i="1"/>
  <c r="E169" i="1" s="1"/>
  <c r="H160" i="1"/>
  <c r="F160" i="1"/>
  <c r="F169" i="1" s="1"/>
  <c r="G169" i="1" s="1"/>
  <c r="E160" i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I126" i="1" s="1"/>
  <c r="H127" i="1"/>
  <c r="G127" i="1"/>
  <c r="F127" i="1"/>
  <c r="F126" i="1" s="1"/>
  <c r="G126" i="1"/>
  <c r="E126" i="1"/>
  <c r="D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I121" i="1" s="1"/>
  <c r="G122" i="1"/>
  <c r="H122" i="1" s="1"/>
  <c r="F122" i="1"/>
  <c r="F121" i="1" s="1"/>
  <c r="F120" i="1" s="1"/>
  <c r="F137" i="1" s="1"/>
  <c r="E121" i="1"/>
  <c r="E120" i="1" s="1"/>
  <c r="E137" i="1" s="1"/>
  <c r="D121" i="1"/>
  <c r="D120" i="1" s="1"/>
  <c r="I119" i="1"/>
  <c r="G119" i="1"/>
  <c r="H119" i="1" s="1"/>
  <c r="F119" i="1"/>
  <c r="I118" i="1"/>
  <c r="H118" i="1"/>
  <c r="G118" i="1"/>
  <c r="F118" i="1"/>
  <c r="I117" i="1"/>
  <c r="I115" i="1" s="1"/>
  <c r="G117" i="1"/>
  <c r="H117" i="1" s="1"/>
  <c r="F117" i="1"/>
  <c r="I116" i="1"/>
  <c r="H116" i="1"/>
  <c r="G116" i="1"/>
  <c r="F116" i="1"/>
  <c r="G115" i="1"/>
  <c r="F115" i="1"/>
  <c r="E115" i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H83" i="1" s="1"/>
  <c r="H82" i="1" s="1"/>
  <c r="G84" i="1"/>
  <c r="G83" i="1" s="1"/>
  <c r="G82" i="1" s="1"/>
  <c r="F84" i="1"/>
  <c r="I83" i="1"/>
  <c r="I82" i="1" s="1"/>
  <c r="F83" i="1"/>
  <c r="F82" i="1" s="1"/>
  <c r="E83" i="1"/>
  <c r="E82" i="1" s="1"/>
  <c r="D83" i="1"/>
  <c r="D82" i="1" s="1"/>
  <c r="I81" i="1"/>
  <c r="H81" i="1"/>
  <c r="H79" i="1" s="1"/>
  <c r="H94" i="1" s="1"/>
  <c r="G81" i="1"/>
  <c r="F81" i="1"/>
  <c r="I80" i="1"/>
  <c r="I79" i="1" s="1"/>
  <c r="I94" i="1" s="1"/>
  <c r="H80" i="1"/>
  <c r="G80" i="1"/>
  <c r="F80" i="1"/>
  <c r="F79" i="1" s="1"/>
  <c r="F94" i="1" s="1"/>
  <c r="G79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F33" i="1" s="1"/>
  <c r="I34" i="1"/>
  <c r="I33" i="1" s="1"/>
  <c r="G34" i="1"/>
  <c r="G33" i="1" s="1"/>
  <c r="F34" i="1"/>
  <c r="E33" i="1"/>
  <c r="D33" i="1"/>
  <c r="I32" i="1"/>
  <c r="H32" i="1"/>
  <c r="G32" i="1"/>
  <c r="F32" i="1"/>
  <c r="H31" i="1"/>
  <c r="G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G26" i="1" s="1"/>
  <c r="F27" i="1"/>
  <c r="E26" i="1"/>
  <c r="E25" i="1" s="1"/>
  <c r="D26" i="1"/>
  <c r="D25" i="1" s="1"/>
  <c r="I24" i="1"/>
  <c r="H24" i="1"/>
  <c r="H22" i="1" s="1"/>
  <c r="G24" i="1"/>
  <c r="F24" i="1"/>
  <c r="I23" i="1"/>
  <c r="I22" i="1" s="1"/>
  <c r="H23" i="1"/>
  <c r="G23" i="1"/>
  <c r="F23" i="1"/>
  <c r="F22" i="1" s="1"/>
  <c r="G22" i="1"/>
  <c r="E22" i="1"/>
  <c r="D22" i="1"/>
  <c r="H16" i="1"/>
  <c r="F16" i="1"/>
  <c r="D16" i="1"/>
  <c r="I26" i="1" l="1"/>
  <c r="F26" i="1"/>
  <c r="F25" i="1" s="1"/>
  <c r="F42" i="1" s="1"/>
  <c r="H26" i="1"/>
  <c r="G273" i="1"/>
  <c r="G94" i="1"/>
  <c r="H304" i="1"/>
  <c r="G137" i="1"/>
  <c r="H121" i="1"/>
  <c r="G25" i="1"/>
  <c r="G42" i="1" s="1"/>
  <c r="H33" i="1"/>
  <c r="H25" i="1" s="1"/>
  <c r="H42" i="1" s="1"/>
  <c r="E42" i="1"/>
  <c r="H115" i="1"/>
  <c r="I120" i="1"/>
  <c r="I137" i="1" s="1"/>
  <c r="G202" i="1"/>
  <c r="F206" i="1"/>
  <c r="G206" i="1" s="1"/>
  <c r="F304" i="1"/>
  <c r="G304" i="1" s="1"/>
  <c r="G294" i="1"/>
  <c r="I25" i="1"/>
  <c r="I42" i="1" s="1"/>
  <c r="D42" i="1"/>
  <c r="H126" i="1"/>
  <c r="H265" i="1"/>
  <c r="H262" i="1" s="1"/>
  <c r="H273" i="1" s="1"/>
  <c r="G323" i="1"/>
  <c r="G324" i="1" s="1"/>
  <c r="G121" i="1"/>
  <c r="G120" i="1" s="1"/>
  <c r="H34" i="1"/>
  <c r="G160" i="1"/>
  <c r="H120" i="1" l="1"/>
  <c r="H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<sst xmlns="http://schemas.openxmlformats.org/spreadsheetml/2006/main" count="393" uniqueCount="167">
  <si>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</si>
  <si>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</si>
  <si>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</si>
  <si>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</si>
  <si>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</si>
  <si>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</si>
  <si>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</si>
  <si>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</si>
  <si>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</si>
  <si>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</si>
  <si>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</si>
  <si>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</si>
  <si>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</si>
  <si>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</si>
  <si>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</si>
  <si>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</si>
  <si>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</si>
  <si>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</si>
  <si>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</si>
  <si>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</si>
  <si>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</si>
  <si>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</si>
  <si>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</si>
  <si>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</si>
  <si>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</si>
  <si>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</si>
  <si>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</si>
  <si>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</si>
  <si>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</si>
  <si>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</si>
  <si>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</si>
  <si>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</si>
  <si>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</si>
  <si>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</si>
  <si>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</si>
  <si>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</si>
  <si>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</si>
  <si>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</si>
  <si>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</si>
  <si>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</si>
  <si>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</si>
  <si>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</si>
  <si>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</si>
  <si>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</si>
  <si>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</si>
  <si>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</si>
  <si>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</si>
  <si>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</si>
  <si>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</si>
  <si>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</si>
  <si>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</si>
  <si>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</si>
  <si>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</si>
  <si>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</si>
  <si>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</si>
  <si>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</si>
  <si>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</si>
  <si>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</si>
  <si>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</si>
  <si>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</si>
  <si>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</si>
  <si>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</si>
  <si>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</si>
  <si>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</si>
  <si>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</si>
  <si>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</si>
  <si>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</si>
  <si>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</si>
  <si>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</si>
  <si>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</si>
  <si>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</si>
  <si>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</si>
  <si>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</si>
  <si>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</si>
  <si>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</si>
  <si>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</si>
  <si>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</si>
  <si>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</si>
  <si>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</si>
  <si>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</si>
  <si>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</si>
  <si>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</si>
  <si>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</si>
  <si>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</si>
  <si>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</si>
  <si>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</si>
  <si>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</si>
  <si>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</si>
  <si>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</si>
  <si>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</si>
  <si>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</si>
  <si>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</si>
  <si>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</si>
  <si>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</si>
  <si>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</si>
  <si>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</si>
  <si>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</si>
  <si>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</si>
  <si>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</si>
  <si>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</si>
  <si>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</si>
  <si>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</si>
  <si>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</si>
  <si>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</si>
  <si>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</si>
  <si>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</si>
  <si>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</si>
  <si>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</si>
  <si>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</si>
  <si>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</si>
  <si>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</si>
  <si>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</si>
  <si>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</si>
  <si>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</si>
  <si>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</si>
  <si>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</si>
  <si>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</si>
  <si>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</si>
  <si>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</si>
  <si>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</si>
  <si>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</si>
  <si>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</si>
  <si>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</si>
  <si>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</si>
  <si>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</si>
  <si>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</si>
  <si>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</si>
  <si>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</si>
  <si>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</si>
  <si>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</si>
  <si>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</si>
  <si>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</si>
  <si>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</si>
  <si>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</si>
  <si>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</si>
  <si>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</si>
  <si>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</si>
  <si>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</si>
  <si>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</si>
  <si>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</si>
  <si>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</si>
  <si>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</si>
  <si>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</si>
  <si>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</si>
  <si>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</si>
  <si>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</si>
  <si>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</si>
  <si>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</si>
  <si>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</si>
  <si>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</si>
  <si>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</si>
  <si>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</si>
  <si>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</si>
  <si>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</si>
  <si>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</si>
  <si>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</si>
  <si>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</si>
  <si>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</si>
  <si>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t>2 Registrert rekreasjonsfiske utgjør 35 tonn, men det legges til grunn at hele avsetningen tas</t>
  </si>
  <si>
    <t>4 Registrert rekreasjonsfiske utgjør 125 tonn, men det legges til grunn at hele avsetningen tas</t>
  </si>
  <si>
    <t>3 Registrert rekreasjonsfiske utgjør 486 tonn, men det legges til grunn at hele avsetningen tas</t>
  </si>
  <si>
    <t>FANGST UKE 21</t>
  </si>
  <si>
    <t>FANGST T.O.M UKE 21</t>
  </si>
  <si>
    <t>RESTKVOTER UKE 21</t>
  </si>
  <si>
    <t>FANGST T.O.M UKE 21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</si>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</sst>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79" zoomScale="112" zoomScaleNormal="55" zoomScaleSheetLayoutView="100" zoomScalePageLayoutView="85" workbookViewId="0">
      <selection activeCell="F289" sqref="F289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123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143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3.7829999999999999</v>
      </c>
      <c r="G22" s="27">
        <f t="shared" si="0"/>
        <v>18538.24509</v>
      </c>
      <c r="H22" s="10">
        <f t="shared" si="0"/>
        <v>23047.75491</v>
      </c>
      <c r="I22" s="10">
        <f t="shared" si="0"/>
        <v>35801.402040000001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3.783</f>
        <v>3.7829999999999999</v>
      </c>
      <c r="G23" s="22">
        <f>18240.74109</f>
        <v>18240.74109</v>
      </c>
      <c r="H23" s="22">
        <f>E23-G23</f>
        <v>22582.25891</v>
      </c>
      <c r="I23" s="22">
        <f>35342.65296</f>
        <v>35342.652959999999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297.504</f>
        <v>297.50400000000002</v>
      </c>
      <c r="H24" s="22">
        <f>E24-G24</f>
        <v>465.49599999999998</v>
      </c>
      <c r="I24" s="22">
        <f>458.74908</f>
        <v>458.74907999999999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536.14617999999996</v>
      </c>
      <c r="G25" s="10">
        <f t="shared" si="1"/>
        <v>93800.242720000009</v>
      </c>
      <c r="H25" s="10">
        <f t="shared" si="1"/>
        <v>27867.757279999994</v>
      </c>
      <c r="I25" s="10">
        <f t="shared" si="1"/>
        <v>112842.21513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385.13226000000003</v>
      </c>
      <c r="G26" s="129">
        <f>G27+G28+G29+G30+G31</f>
        <v>75116.772800000006</v>
      </c>
      <c r="H26" s="129">
        <f t="shared" ref="H26:I26" si="2">H27+H28+H29+H30+H31</f>
        <v>19776.227199999994</v>
      </c>
      <c r="I26" s="129">
        <f t="shared" si="2"/>
        <v>91028.203999999998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84.20176 - F55</f>
        <v>84.201759999999993</v>
      </c>
      <c r="G27" s="123">
        <f>21864.38462 - G55</f>
        <v>21864.384620000001</v>
      </c>
      <c r="H27" s="123">
        <f t="shared" ref="H27:H39" si="3">E27-G27</f>
        <v>3288.6153799999993</v>
      </c>
      <c r="I27" s="123">
        <f>24959.45375 - I55</f>
        <v>24959.453750000001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68.14678 - F56</f>
        <v>68.146780000000007</v>
      </c>
      <c r="G28" s="123">
        <f>21430.56791 - G56</f>
        <v>21430.567910000002</v>
      </c>
      <c r="H28" s="123">
        <f t="shared" si="3"/>
        <v>2563.4320899999984</v>
      </c>
      <c r="I28" s="123">
        <f>26257.33843 - I56</f>
        <v>26257.33843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249.27897 - F57</f>
        <v>249.27896999999999</v>
      </c>
      <c r="G29" s="123">
        <f>19972.02773 - G57</f>
        <v>19972.027730000002</v>
      </c>
      <c r="H29" s="123">
        <f t="shared" si="3"/>
        <v>1897.9722699999984</v>
      </c>
      <c r="I29" s="123">
        <f>24465.90621 - I57</f>
        <v>24465.906210000001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32.50475 - F58</f>
        <v>-16.495249999999999</v>
      </c>
      <c r="G30" s="123">
        <f>13533.79254 - G58</f>
        <v>11849.79254</v>
      </c>
      <c r="H30" s="123">
        <f t="shared" si="3"/>
        <v>3795.2074599999996</v>
      </c>
      <c r="I30" s="123">
        <f>17777.50561 - I58</f>
        <v>15345.50561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0.05782</f>
        <v>5.7820000000000003E-2</v>
      </c>
      <c r="G32" s="129">
        <f>6632.18917</f>
        <v>6632.1891699999996</v>
      </c>
      <c r="H32" s="129">
        <f t="shared" si="3"/>
        <v>7046.8108300000004</v>
      </c>
      <c r="I32" s="129">
        <f>8408.67044</f>
        <v>8408.6704399999999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150.95609999999999</v>
      </c>
      <c r="G33" s="129">
        <f>G34+G35</f>
        <v>12051.28075</v>
      </c>
      <c r="H33" s="129">
        <f t="shared" si="3"/>
        <v>1044.7192500000001</v>
      </c>
      <c r="I33" s="129">
        <f>I34+I35</f>
        <v>13405.340690000001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150.9561 - F59 - F60</f>
        <v>150.95609999999999</v>
      </c>
      <c r="G34" s="129">
        <f>12051.28075 - G59 - G60</f>
        <v>12051.28075</v>
      </c>
      <c r="H34" s="123">
        <f t="shared" si="3"/>
        <v>84.719250000000102</v>
      </c>
      <c r="I34" s="123">
        <f>13405.34069 - I59 - I60</f>
        <v>13405.340690000001</v>
      </c>
      <c r="J34" s="63"/>
    </row>
    <row r="35" spans="1:10" ht="14.15" customHeight="1" x14ac:dyDescent="0.3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251.5356</f>
        <v>251.53559999999999</v>
      </c>
      <c r="H36" s="136">
        <f t="shared" si="3"/>
        <v>748.46440000000007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34</v>
      </c>
      <c r="D37" s="140">
        <v>855</v>
      </c>
      <c r="E37" s="140">
        <v>855</v>
      </c>
      <c r="F37" s="95">
        <f>0.048</f>
        <v>4.8000000000000001E-2</v>
      </c>
      <c r="G37" s="95">
        <f>529.51131</f>
        <v>529.51130999999998</v>
      </c>
      <c r="H37" s="95">
        <f t="shared" si="3"/>
        <v>325.48869000000002</v>
      </c>
      <c r="I37" s="95">
        <f>450.68742</f>
        <v>450.68741999999997</v>
      </c>
      <c r="J37" s="267"/>
    </row>
    <row r="38" spans="1:10" ht="17.25" customHeight="1" x14ac:dyDescent="0.3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49</v>
      </c>
      <c r="G38" s="95">
        <f>G58</f>
        <v>1684</v>
      </c>
      <c r="H38" s="95">
        <f t="shared" si="3"/>
        <v>1316</v>
      </c>
      <c r="I38" s="95">
        <f>I58</f>
        <v>2432</v>
      </c>
      <c r="J38" s="267"/>
    </row>
    <row r="39" spans="1:10" ht="17.25" customHeight="1" x14ac:dyDescent="0.35">
      <c r="A39" s="1"/>
      <c r="B39" s="277"/>
      <c r="C39" s="70" t="s">
        <v>36</v>
      </c>
      <c r="D39" s="140">
        <v>7000</v>
      </c>
      <c r="E39" s="140">
        <v>7000</v>
      </c>
      <c r="F39" s="95">
        <f>5.91609</f>
        <v>5.9160899999999996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38</v>
      </c>
      <c r="D40" s="140">
        <v>450</v>
      </c>
      <c r="E40" s="140">
        <v>450</v>
      </c>
      <c r="F40" s="95">
        <f>3.6063</f>
        <v>3.6063000000000001</v>
      </c>
      <c r="G40" s="95">
        <f>358.383</f>
        <v>358.38299999999998</v>
      </c>
      <c r="H40" s="95">
        <f>E40-G40</f>
        <v>91.617000000000019</v>
      </c>
      <c r="I40" s="95">
        <f>311.12851</f>
        <v>311.12851000000001</v>
      </c>
      <c r="J40" s="267"/>
    </row>
    <row r="41" spans="1:10" ht="14.15" customHeight="1" x14ac:dyDescent="0.35">
      <c r="A41" s="1"/>
      <c r="B41" s="277"/>
      <c r="C41" s="70" t="s">
        <v>39</v>
      </c>
      <c r="D41" s="140"/>
      <c r="E41" s="136"/>
      <c r="F41" s="136">
        <f>0</f>
        <v>0</v>
      </c>
      <c r="G41" s="136">
        <f>59.55813</f>
        <v>59.558129999999998</v>
      </c>
      <c r="H41" s="136">
        <f t="shared" ref="H41" si="4">E41-G41</f>
        <v>-59.558129999999998</v>
      </c>
      <c r="I41" s="136">
        <f>85.43626</f>
        <v>85.436260000000004</v>
      </c>
      <c r="J41" s="267"/>
    </row>
    <row r="42" spans="1:10" ht="16.5" customHeight="1" x14ac:dyDescent="0.3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598.49957000000006</v>
      </c>
      <c r="G42" s="73">
        <f t="shared" si="5"/>
        <v>122221.47585000002</v>
      </c>
      <c r="H42" s="73">
        <f t="shared" si="5"/>
        <v>53337.52414999999</v>
      </c>
      <c r="I42" s="73">
        <f t="shared" si="5"/>
        <v>159271.23056</v>
      </c>
      <c r="J42" s="267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43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5" customHeight="1" x14ac:dyDescent="0.35">
      <c r="A52" s="101"/>
      <c r="B52" s="24"/>
      <c r="C52" s="15" t="s">
        <v>45</v>
      </c>
      <c r="D52" s="329">
        <v>7872</v>
      </c>
      <c r="E52" s="329">
        <v>8231</v>
      </c>
      <c r="F52" s="10">
        <f>F56+F55+F54+F53</f>
        <v>0</v>
      </c>
      <c r="G52" s="10">
        <f>G56+G55+G54+G53</f>
        <v>0</v>
      </c>
      <c r="H52" s="329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/>
      <c r="G53" s="123"/>
      <c r="H53" s="330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/>
      <c r="G54" s="123"/>
      <c r="H54" s="330"/>
      <c r="I54" s="123"/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/>
      <c r="G55" s="123"/>
      <c r="H55" s="330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/>
      <c r="G56" s="186"/>
      <c r="H56" s="331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49</v>
      </c>
      <c r="G58" s="136">
        <v>1684</v>
      </c>
      <c r="H58" s="136">
        <f>E58-G58</f>
        <v>1316</v>
      </c>
      <c r="I58" s="136">
        <v>2432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52.226230000000001</v>
      </c>
      <c r="G79" s="10">
        <f t="shared" si="6"/>
        <v>18748.51367</v>
      </c>
      <c r="H79" s="10">
        <f t="shared" si="6"/>
        <v>7392.4863299999997</v>
      </c>
      <c r="I79" s="10">
        <f t="shared" si="6"/>
        <v>22633.304609999999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52.22623</f>
        <v>52.226230000000001</v>
      </c>
      <c r="G80" s="22">
        <f>18338.41027</f>
        <v>18338.41027</v>
      </c>
      <c r="H80" s="22">
        <f>E80-G80</f>
        <v>6977.5897299999997</v>
      </c>
      <c r="I80" s="22">
        <f>21861.93016</f>
        <v>21861.93016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410.1034</f>
        <v>410.10340000000002</v>
      </c>
      <c r="H81" s="48">
        <f>E81-G81</f>
        <v>414.89659999999998</v>
      </c>
      <c r="I81" s="48">
        <f>771.37445</f>
        <v>771.37445000000002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514.8924300000001</v>
      </c>
      <c r="G82" s="10">
        <f t="shared" si="7"/>
        <v>21009.995309999998</v>
      </c>
      <c r="H82" s="10">
        <f t="shared" si="7"/>
        <v>23119.004689999998</v>
      </c>
      <c r="I82" s="10">
        <f t="shared" si="7"/>
        <v>25158.383020000005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501.06442000000004</v>
      </c>
      <c r="G83" s="129">
        <f t="shared" si="8"/>
        <v>17105.603650000001</v>
      </c>
      <c r="H83" s="129">
        <f t="shared" si="8"/>
        <v>15399.396349999999</v>
      </c>
      <c r="I83" s="129">
        <f t="shared" si="8"/>
        <v>19045.430350000002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78.65967</f>
        <v>78.659670000000006</v>
      </c>
      <c r="G84" s="123">
        <f>2584.72339</f>
        <v>2584.7233900000001</v>
      </c>
      <c r="H84" s="123">
        <f t="shared" ref="H84:H91" si="9">E84-G84</f>
        <v>6419.2766099999999</v>
      </c>
      <c r="I84" s="123">
        <f>3667.83594</f>
        <v>3667.8359399999999</v>
      </c>
      <c r="J84" s="267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244.94407</f>
        <v>244.94407000000001</v>
      </c>
      <c r="G85" s="123">
        <f>4515.66016</f>
        <v>4515.6601600000004</v>
      </c>
      <c r="H85" s="123">
        <f t="shared" si="9"/>
        <v>4559.3398399999996</v>
      </c>
      <c r="I85" s="123">
        <f>6259.14415</f>
        <v>6259.1441500000001</v>
      </c>
      <c r="J85" s="267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167.44906</f>
        <v>167.44906</v>
      </c>
      <c r="G86" s="123">
        <f>5781.23291</f>
        <v>5781.2329099999997</v>
      </c>
      <c r="H86" s="123">
        <f t="shared" si="9"/>
        <v>2867.7670900000003</v>
      </c>
      <c r="I86" s="123">
        <f>6068.25903</f>
        <v>6068.2590300000002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10.01162</f>
        <v>10.011620000000001</v>
      </c>
      <c r="G87" s="123">
        <f>4223.98719</f>
        <v>4223.9871899999998</v>
      </c>
      <c r="H87" s="123">
        <f t="shared" si="9"/>
        <v>1553.0128100000002</v>
      </c>
      <c r="I87" s="123">
        <f>3050.19123</f>
        <v>3050.1912299999999</v>
      </c>
      <c r="J87" s="267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0.09462</f>
        <v>9.4619999999999996E-2</v>
      </c>
      <c r="G88" s="129">
        <f>2846.75984</f>
        <v>2846.7598400000002</v>
      </c>
      <c r="H88" s="129">
        <f t="shared" si="9"/>
        <v>5270.2401599999994</v>
      </c>
      <c r="I88" s="129">
        <f>4480.14757</f>
        <v>4480.1475700000001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13.73339</f>
        <v>13.73339</v>
      </c>
      <c r="G89" s="72">
        <f>1057.63182</f>
        <v>1057.6318200000001</v>
      </c>
      <c r="H89" s="72">
        <f t="shared" si="9"/>
        <v>2449.3681799999999</v>
      </c>
      <c r="I89" s="72">
        <f>1632.8051</f>
        <v>1632.8051</v>
      </c>
      <c r="J89" s="267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0.0342</f>
        <v>3.4200000000000001E-2</v>
      </c>
      <c r="G90" s="95">
        <f>27.15663</f>
        <v>27.15663</v>
      </c>
      <c r="H90" s="95">
        <f t="shared" si="9"/>
        <v>291.84336999999999</v>
      </c>
      <c r="I90" s="95">
        <f>36.00468</f>
        <v>36.00468</v>
      </c>
      <c r="J90" s="267"/>
    </row>
    <row r="91" spans="1:10" ht="18" customHeight="1" x14ac:dyDescent="0.35">
      <c r="A91" s="1"/>
      <c r="B91" s="277"/>
      <c r="C91" s="70" t="s">
        <v>54</v>
      </c>
      <c r="D91" s="140">
        <v>300</v>
      </c>
      <c r="E91" s="140">
        <v>300</v>
      </c>
      <c r="F91" s="136">
        <f>0.1105</f>
        <v>0.1105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38</v>
      </c>
      <c r="D92" s="140">
        <v>50</v>
      </c>
      <c r="E92" s="140">
        <v>50</v>
      </c>
      <c r="F92" s="95">
        <f>0.06806</f>
        <v>6.8059999999999996E-2</v>
      </c>
      <c r="G92" s="95">
        <f>11.87496</f>
        <v>11.87496</v>
      </c>
      <c r="H92" s="136">
        <f>E92-G92</f>
        <v>38.125039999999998</v>
      </c>
      <c r="I92" s="95">
        <f>19.21956</f>
        <v>19.219560000000001</v>
      </c>
      <c r="J92" s="267"/>
    </row>
    <row r="93" spans="1:10" ht="18" customHeight="1" x14ac:dyDescent="0.35">
      <c r="A93" s="1"/>
      <c r="B93" s="277"/>
      <c r="C93" s="89" t="s">
        <v>55</v>
      </c>
      <c r="D93" s="140"/>
      <c r="E93" s="136"/>
      <c r="F93" s="136">
        <f>0</f>
        <v>0</v>
      </c>
      <c r="G93" s="136">
        <f>5.3629</f>
        <v>5.3628999999999998</v>
      </c>
      <c r="H93" s="136">
        <f t="shared" ref="H93" si="10">E93-G93</f>
        <v>-5.3628999999999998</v>
      </c>
      <c r="I93" s="136">
        <f>16.04012</f>
        <v>16.040120000000002</v>
      </c>
      <c r="J93" s="267"/>
    </row>
    <row r="94" spans="1:10" ht="16.5" customHeight="1" x14ac:dyDescent="0.3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567.33142000000009</v>
      </c>
      <c r="G94" s="73">
        <f t="shared" si="12"/>
        <v>40102.903469999997</v>
      </c>
      <c r="H94" s="73">
        <f t="shared" si="12"/>
        <v>30836.096529999995</v>
      </c>
      <c r="I94" s="73">
        <f t="shared" si="12"/>
        <v>48162.951989999994</v>
      </c>
      <c r="J94" s="267"/>
    </row>
    <row r="95" spans="1:10" ht="13.5" customHeight="1" x14ac:dyDescent="0.35">
      <c r="A95" s="1"/>
      <c r="B95" s="277"/>
      <c r="C95" s="74" t="s">
        <v>126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166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5" customHeight="1" x14ac:dyDescent="0.35">
      <c r="A115" s="1"/>
      <c r="B115" s="277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64.768950000000004</v>
      </c>
      <c r="G115" s="10">
        <f t="shared" si="13"/>
        <v>28724.446459999999</v>
      </c>
      <c r="H115" s="10">
        <f t="shared" si="13"/>
        <v>43565.553539999994</v>
      </c>
      <c r="I115" s="10">
        <f t="shared" si="13"/>
        <v>37281.424969999993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57471</v>
      </c>
      <c r="F116" s="22">
        <f>64.76895</f>
        <v>64.768950000000004</v>
      </c>
      <c r="G116" s="22">
        <f>25559.06766</f>
        <v>25559.067660000001</v>
      </c>
      <c r="H116" s="22">
        <f>E116-G116</f>
        <v>31911.932339999999</v>
      </c>
      <c r="I116" s="22">
        <f>32981.44697</f>
        <v>32981.446969999997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14319</v>
      </c>
      <c r="F117" s="22">
        <f>0</f>
        <v>0</v>
      </c>
      <c r="G117" s="22">
        <f>3100.0212</f>
        <v>3100.0212000000001</v>
      </c>
      <c r="H117" s="22">
        <f>E117-G117</f>
        <v>11218.978800000001</v>
      </c>
      <c r="I117" s="22">
        <f>4234.52785</f>
        <v>4234.5278500000004</v>
      </c>
      <c r="J117" s="267"/>
    </row>
    <row r="118" spans="1:10" ht="13.5" customHeight="1" x14ac:dyDescent="0.3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52305</v>
      </c>
      <c r="F119" s="92">
        <f>2836.1734</f>
        <v>2836.1734000000001</v>
      </c>
      <c r="G119" s="92">
        <f>9561.10415</f>
        <v>9561.1041499999992</v>
      </c>
      <c r="H119" s="92">
        <f>E119-G119</f>
        <v>42743.895850000001</v>
      </c>
      <c r="I119" s="92">
        <f>3355.17114</f>
        <v>3355.1711399999999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271.29283999999996</v>
      </c>
      <c r="G120" s="91">
        <f t="shared" ref="G120" si="14">G121+G126+G129</f>
        <v>34099.561609999997</v>
      </c>
      <c r="H120" s="91">
        <f>H121+H126+H129</f>
        <v>38795.438390000003</v>
      </c>
      <c r="I120" s="91">
        <f>I121+I126+I129</f>
        <v>45759.411420000004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210.46814999999998</v>
      </c>
      <c r="G121" s="121">
        <f>G122+G123+G125+G124</f>
        <v>25466.023989999998</v>
      </c>
      <c r="H121" s="121">
        <f>H122+H123+H124+H125</f>
        <v>29267.976010000002</v>
      </c>
      <c r="I121" s="121">
        <f>I122+I123+I124+I125</f>
        <v>34456.900450000001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16279</v>
      </c>
      <c r="F122" s="123">
        <f>48.23764</f>
        <v>48.237639999999999</v>
      </c>
      <c r="G122" s="123">
        <f>5662.24298</f>
        <v>5662.24298</v>
      </c>
      <c r="H122" s="123">
        <f>E122-G122</f>
        <v>10616.757020000001</v>
      </c>
      <c r="I122" s="123">
        <f>6320.64051</f>
        <v>6320.6405100000002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13937</v>
      </c>
      <c r="F123" s="123">
        <f>22.82319</f>
        <v>22.82319</v>
      </c>
      <c r="G123" s="123">
        <f>7597.42369</f>
        <v>7597.4236899999996</v>
      </c>
      <c r="H123" s="123">
        <f>E123-G123</f>
        <v>6339.5763100000004</v>
      </c>
      <c r="I123" s="123">
        <f>10244.55201</f>
        <v>10244.552009999999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11676</v>
      </c>
      <c r="F124" s="123">
        <f>102.4978</f>
        <v>102.4978</v>
      </c>
      <c r="G124" s="123">
        <f>5857.47478</f>
        <v>5857.4747799999996</v>
      </c>
      <c r="H124" s="123">
        <f>E124-G124</f>
        <v>5818.5252200000004</v>
      </c>
      <c r="I124" s="123">
        <f>8986.24707</f>
        <v>8986.2470699999994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12842</v>
      </c>
      <c r="F125" s="123">
        <f>36.90952</f>
        <v>36.909520000000001</v>
      </c>
      <c r="G125" s="123">
        <f>6348.88254</f>
        <v>6348.8825399999996</v>
      </c>
      <c r="H125" s="123">
        <f>E125-G125</f>
        <v>6493.1174600000004</v>
      </c>
      <c r="I125" s="123">
        <f>8905.46086</f>
        <v>8905.4608599999992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3.9264000000000001</v>
      </c>
      <c r="G126" s="129">
        <f>SUM(G127:G128)</f>
        <v>5759.8097299999999</v>
      </c>
      <c r="H126" s="129">
        <f>H127+H128</f>
        <v>1271.1902700000003</v>
      </c>
      <c r="I126" s="129">
        <f>SUM(I127:I128)</f>
        <v>8189.5772299999999</v>
      </c>
      <c r="J126" s="130"/>
    </row>
    <row r="127" spans="1:10" ht="14.15" customHeight="1" x14ac:dyDescent="0.35">
      <c r="A127" s="1"/>
      <c r="B127" s="277"/>
      <c r="C127" s="60" t="s">
        <v>66</v>
      </c>
      <c r="D127" s="61">
        <v>6819</v>
      </c>
      <c r="E127" s="61">
        <v>6531</v>
      </c>
      <c r="F127" s="123">
        <f>3.9264</f>
        <v>3.9264000000000001</v>
      </c>
      <c r="G127" s="123">
        <f>5637.19086</f>
        <v>5637.1908599999997</v>
      </c>
      <c r="H127" s="123">
        <f t="shared" ref="H127:H135" si="15">E127-G127</f>
        <v>893.8091400000003</v>
      </c>
      <c r="I127" s="123">
        <f>7947.72476</f>
        <v>7947.7247600000001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</f>
        <v>0</v>
      </c>
      <c r="G128" s="123">
        <f>122.61887</f>
        <v>122.61887</v>
      </c>
      <c r="H128" s="123">
        <f t="shared" si="15"/>
        <v>377.38112999999998</v>
      </c>
      <c r="I128" s="123">
        <f>241.85247</f>
        <v>241.85247000000001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11130</v>
      </c>
      <c r="F129" s="72">
        <f>56.89829</f>
        <v>56.898290000000003</v>
      </c>
      <c r="G129" s="72">
        <f>2873.72789</f>
        <v>2873.7278900000001</v>
      </c>
      <c r="H129" s="72">
        <f t="shared" si="15"/>
        <v>8256.2721099999999</v>
      </c>
      <c r="I129" s="72">
        <f>3112.93374</f>
        <v>3112.9337399999999</v>
      </c>
      <c r="J129" s="117"/>
    </row>
    <row r="130" spans="1:10" ht="15.75" customHeight="1" x14ac:dyDescent="0.35">
      <c r="A130" s="1"/>
      <c r="B130" s="277"/>
      <c r="C130" s="139" t="s">
        <v>34</v>
      </c>
      <c r="D130" s="140">
        <v>146</v>
      </c>
      <c r="E130" s="140">
        <v>146</v>
      </c>
      <c r="F130" s="136">
        <f>0.07695</f>
        <v>7.6950000000000005E-2</v>
      </c>
      <c r="G130" s="136">
        <f>15.5434</f>
        <v>15.5434</v>
      </c>
      <c r="H130" s="136">
        <f t="shared" si="15"/>
        <v>130.45660000000001</v>
      </c>
      <c r="I130" s="136">
        <f>15.64845</f>
        <v>15.64845</v>
      </c>
      <c r="J130" s="117"/>
    </row>
    <row r="131" spans="1:10" ht="15.75" customHeight="1" x14ac:dyDescent="0.3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82.208</f>
        <v>82.207999999999998</v>
      </c>
      <c r="J131" s="117"/>
    </row>
    <row r="132" spans="1:10" ht="18" customHeight="1" x14ac:dyDescent="0.35">
      <c r="A132" s="1"/>
      <c r="B132" s="277"/>
      <c r="C132" s="137" t="s">
        <v>69</v>
      </c>
      <c r="D132" s="140">
        <v>2000</v>
      </c>
      <c r="E132" s="140">
        <v>2000</v>
      </c>
      <c r="F132" s="136">
        <f>3.22405</f>
        <v>3.2240500000000001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70</v>
      </c>
      <c r="D134" s="140">
        <v>313</v>
      </c>
      <c r="E134" s="140">
        <v>313</v>
      </c>
      <c r="F134" s="95">
        <f>0.0277</f>
        <v>2.7699999999999999E-2</v>
      </c>
      <c r="G134" s="95">
        <f>81.79175</f>
        <v>81.791749999999993</v>
      </c>
      <c r="H134" s="136">
        <f t="shared" si="15"/>
        <v>231.20825000000002</v>
      </c>
      <c r="I134" s="95">
        <f>38.08338</f>
        <v>38.083379999999998</v>
      </c>
      <c r="J134" s="117"/>
    </row>
    <row r="135" spans="1:10" ht="15" customHeight="1" x14ac:dyDescent="0.35">
      <c r="A135" s="1"/>
      <c r="B135" s="277"/>
      <c r="C135" s="139" t="s">
        <v>39</v>
      </c>
      <c r="D135" s="142"/>
      <c r="E135" s="140"/>
      <c r="F135" s="136">
        <f>0</f>
        <v>0</v>
      </c>
      <c r="G135" s="136">
        <f>74.77426</f>
        <v>74.774259999999998</v>
      </c>
      <c r="H135" s="136">
        <f t="shared" si="15"/>
        <v>-74.774259999999998</v>
      </c>
      <c r="I135" s="136">
        <f>109.17109</f>
        <v>109.17109000000001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3175.5638900000004</v>
      </c>
      <c r="G137" s="73">
        <f>G115+G119+G120+G130+G131+G132+G133+G134+G135</f>
        <v>74557.22163</v>
      </c>
      <c r="H137" s="73">
        <f>H115+H119+H120+H130+H131+H132+H133+H134+H135</f>
        <v>125741.77836999999</v>
      </c>
      <c r="I137" s="73">
        <f>I115+I119+I120+I130+I131+I132+I133+I134+I135</f>
        <v>88641.118449999994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5" customHeight="1" x14ac:dyDescent="0.35">
      <c r="A160" s="1"/>
      <c r="B160" s="277"/>
      <c r="C160" s="138" t="s">
        <v>74</v>
      </c>
      <c r="D160" s="91">
        <v>3762</v>
      </c>
      <c r="E160" s="297">
        <f>1.45635</f>
        <v>1.45635</v>
      </c>
      <c r="F160" s="297">
        <f>402.11245</f>
        <v>402.11245000000002</v>
      </c>
      <c r="G160" s="42">
        <f>D160-F160-F161</f>
        <v>2694.7240499999998</v>
      </c>
      <c r="H160" s="297">
        <f>406.49331</f>
        <v>406.49331000000001</v>
      </c>
      <c r="I160" s="1"/>
      <c r="J160" s="117"/>
    </row>
    <row r="161" spans="1:10" ht="14.15" customHeight="1" x14ac:dyDescent="0.35">
      <c r="A161" s="1"/>
      <c r="B161" s="277"/>
      <c r="C161" s="133" t="s">
        <v>53</v>
      </c>
      <c r="D161" s="175"/>
      <c r="E161" s="148">
        <f>24.19368</f>
        <v>24.193680000000001</v>
      </c>
      <c r="F161" s="148">
        <f>665.1635</f>
        <v>665.1635</v>
      </c>
      <c r="G161" s="219"/>
      <c r="H161" s="148">
        <f>905.293</f>
        <v>905.29300000000001</v>
      </c>
      <c r="I161" s="1"/>
      <c r="J161" s="117"/>
    </row>
    <row r="162" spans="1:10" ht="15.65" customHeight="1" x14ac:dyDescent="0.35">
      <c r="A162" s="1"/>
      <c r="B162" s="277"/>
      <c r="C162" s="163" t="s">
        <v>75</v>
      </c>
      <c r="D162" s="95">
        <v>200</v>
      </c>
      <c r="E162" s="166">
        <f>0</f>
        <v>0</v>
      </c>
      <c r="F162" s="166">
        <f>51.97734</f>
        <v>51.977339999999998</v>
      </c>
      <c r="G162" s="166">
        <f>D162-F162</f>
        <v>148.02266</v>
      </c>
      <c r="H162" s="166">
        <f>67.02796</f>
        <v>67.027959999999993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15.005320000000001</v>
      </c>
      <c r="F163" s="175">
        <f>F164+F165+F166</f>
        <v>160.51094000000001</v>
      </c>
      <c r="G163" s="175">
        <f>D163-F163</f>
        <v>5481.4890599999999</v>
      </c>
      <c r="H163" s="175">
        <f>H164+H165+H166</f>
        <v>122.10663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2.95908</f>
        <v>2.9590800000000002</v>
      </c>
      <c r="F164" s="123">
        <f>45.48736</f>
        <v>45.487360000000002</v>
      </c>
      <c r="G164" s="123"/>
      <c r="H164" s="123">
        <f>53.02861</f>
        <v>53.02861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11.22324</f>
        <v>11.223240000000001</v>
      </c>
      <c r="F165" s="123">
        <f>66.22616</f>
        <v>66.226159999999993</v>
      </c>
      <c r="G165" s="123"/>
      <c r="H165" s="123">
        <f>29.3452</f>
        <v>29.345199999999998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0.823</f>
        <v>0.82299999999999995</v>
      </c>
      <c r="F166" s="186">
        <f>48.79742</f>
        <v>48.797420000000002</v>
      </c>
      <c r="G166" s="186"/>
      <c r="H166" s="186">
        <f>39.73282</f>
        <v>39.732819999999997</v>
      </c>
      <c r="I166" s="181"/>
      <c r="J166" s="182"/>
    </row>
    <row r="167" spans="1:10" ht="14.15" customHeight="1" x14ac:dyDescent="0.35">
      <c r="A167" s="1"/>
      <c r="B167" s="277"/>
      <c r="C167" s="70" t="s">
        <v>80</v>
      </c>
      <c r="D167" s="136">
        <v>71</v>
      </c>
      <c r="E167" s="136">
        <f>3.0831</f>
        <v>3.0831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43.73845</v>
      </c>
      <c r="F169" s="188">
        <f>F160+F161+F162+F163+F167+F168</f>
        <v>1285.1173299999998</v>
      </c>
      <c r="G169" s="188">
        <f>D169-F169</f>
        <v>8389.8826700000009</v>
      </c>
      <c r="H169" s="188">
        <f>H160+H161+H162+H163+H167+H168</f>
        <v>1500.9208999999998</v>
      </c>
      <c r="I169" s="159"/>
      <c r="J169" s="155"/>
    </row>
    <row r="170" spans="1:10" ht="42" customHeight="1" x14ac:dyDescent="0.3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1127.62104</f>
        <v>1127.62104</v>
      </c>
      <c r="G189" s="124">
        <f>19618.52922</f>
        <v>19618.52922</v>
      </c>
      <c r="H189" s="124">
        <f>D189-G189</f>
        <v>24523.47078</v>
      </c>
      <c r="I189" s="124">
        <f>16421.45462</f>
        <v>16421.45462</v>
      </c>
      <c r="J189" s="117"/>
    </row>
    <row r="190" spans="1:10" ht="15" customHeight="1" x14ac:dyDescent="0.35">
      <c r="A190" s="1"/>
      <c r="B190" s="277"/>
      <c r="C190" s="90" t="s">
        <v>67</v>
      </c>
      <c r="D190" s="124">
        <v>100</v>
      </c>
      <c r="E190" s="124">
        <v>100</v>
      </c>
      <c r="F190" s="124">
        <f>0.0605</f>
        <v>6.0499999999999998E-2</v>
      </c>
      <c r="G190" s="124">
        <f>14.90131</f>
        <v>14.90131</v>
      </c>
      <c r="H190" s="124">
        <f>D190-G190</f>
        <v>85.098690000000005</v>
      </c>
      <c r="I190" s="124">
        <f>16.17043</f>
        <v>16.17043</v>
      </c>
      <c r="J190" s="117"/>
    </row>
    <row r="191" spans="1:10" ht="15.75" customHeight="1" x14ac:dyDescent="0.3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1127.68154</v>
      </c>
      <c r="G192" s="190">
        <f>SUM(G189:G191)</f>
        <v>19633.430530000001</v>
      </c>
      <c r="H192" s="190">
        <f>D192-G192</f>
        <v>24644.569469999999</v>
      </c>
      <c r="I192" s="190">
        <f>SUM(I189:I191)</f>
        <v>16437.625049999999</v>
      </c>
      <c r="J192" s="117"/>
    </row>
    <row r="193" spans="1:10" ht="12" customHeight="1" x14ac:dyDescent="0.3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77"/>
      <c r="C202" s="90" t="s">
        <v>116</v>
      </c>
      <c r="D202" s="124">
        <v>3987</v>
      </c>
      <c r="E202" s="72">
        <f>E203+E204</f>
        <v>0.89</v>
      </c>
      <c r="F202" s="72">
        <f>F203+F204</f>
        <v>2382.81925</v>
      </c>
      <c r="G202" s="72">
        <f>D202-F202</f>
        <v>1604.18075</v>
      </c>
      <c r="H202" s="72">
        <f>H203+H204</f>
        <v>2691.3028799999997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0.1644</f>
        <v>0.16439999999999999</v>
      </c>
      <c r="F203" s="72">
        <f>1876.56054</f>
        <v>1876.5605399999999</v>
      </c>
      <c r="G203" s="72"/>
      <c r="H203" s="72">
        <f>2216.77969</f>
        <v>2216.7796899999998</v>
      </c>
      <c r="I203" s="271"/>
      <c r="J203" s="117"/>
    </row>
    <row r="204" spans="1:10" ht="15" customHeight="1" x14ac:dyDescent="0.35">
      <c r="A204" s="1"/>
      <c r="B204" s="277"/>
      <c r="C204" s="172" t="s">
        <v>67</v>
      </c>
      <c r="D204" s="124"/>
      <c r="E204" s="124">
        <f>0.7256</f>
        <v>0.72560000000000002</v>
      </c>
      <c r="F204" s="124">
        <f>506.25871</f>
        <v>506.25871000000001</v>
      </c>
      <c r="G204" s="168"/>
      <c r="H204" s="124">
        <f>474.52319</f>
        <v>474.52319</v>
      </c>
      <c r="I204" s="271"/>
      <c r="J204" s="117"/>
    </row>
    <row r="205" spans="1:10" ht="15" customHeight="1" x14ac:dyDescent="0.35">
      <c r="A205" s="1"/>
      <c r="B205" s="277"/>
      <c r="C205" s="90" t="s">
        <v>117</v>
      </c>
      <c r="D205" s="124">
        <v>4613</v>
      </c>
      <c r="E205" s="72">
        <f>219.60784</f>
        <v>219.60784000000001</v>
      </c>
      <c r="F205" s="72">
        <f>3418.35219</f>
        <v>3418.3521900000001</v>
      </c>
      <c r="G205" s="72">
        <f>D205-F205</f>
        <v>1194.6478099999999</v>
      </c>
      <c r="H205" s="72">
        <f>3934.84897</f>
        <v>3934.84897</v>
      </c>
      <c r="I205" s="271"/>
      <c r="J205" s="117"/>
    </row>
    <row r="206" spans="1:10" ht="16.5" customHeight="1" x14ac:dyDescent="0.35">
      <c r="A206" s="1"/>
      <c r="B206" s="277"/>
      <c r="C206" s="179" t="s">
        <v>86</v>
      </c>
      <c r="D206" s="190">
        <f>D205+D202</f>
        <v>8600</v>
      </c>
      <c r="E206" s="190">
        <f>SUM(E202,E205)</f>
        <v>220.49784</v>
      </c>
      <c r="F206" s="190">
        <f>SUM(F202,F205)</f>
        <v>5801.1714400000001</v>
      </c>
      <c r="G206" s="190">
        <f>D206-F206</f>
        <v>2798.8285599999999</v>
      </c>
      <c r="H206" s="190">
        <f>SUM(H202,H205)</f>
        <v>6626.1518500000002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77"/>
      <c r="C215" s="90" t="s">
        <v>116</v>
      </c>
      <c r="D215" s="124">
        <v>5090</v>
      </c>
      <c r="E215" s="72">
        <f>E216+E217</f>
        <v>0.90229999999999999</v>
      </c>
      <c r="F215" s="72">
        <f>F216+F217</f>
        <v>2302.3107</v>
      </c>
      <c r="G215" s="72">
        <f>D215-F215</f>
        <v>2787.6893</v>
      </c>
      <c r="H215" s="72">
        <f>H216+H217</f>
        <v>2722.4593100000002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0.0168</f>
        <v>1.6799999999999999E-2</v>
      </c>
      <c r="F216" s="72">
        <f>2027.53324</f>
        <v>2027.53324</v>
      </c>
      <c r="G216" s="72"/>
      <c r="H216" s="72">
        <f>2354.65722</f>
        <v>2354.6572200000001</v>
      </c>
      <c r="I216" s="271"/>
      <c r="J216" s="117"/>
    </row>
    <row r="217" spans="1:10" ht="15" customHeight="1" x14ac:dyDescent="0.35">
      <c r="A217" s="1"/>
      <c r="B217" s="277"/>
      <c r="C217" s="172" t="s">
        <v>67</v>
      </c>
      <c r="D217" s="124"/>
      <c r="E217" s="124">
        <f>0.8855</f>
        <v>0.88549999999999995</v>
      </c>
      <c r="F217" s="124">
        <f>274.77746</f>
        <v>274.77746000000002</v>
      </c>
      <c r="G217" s="168"/>
      <c r="H217" s="124">
        <f>367.80209</f>
        <v>367.80209000000002</v>
      </c>
      <c r="I217" s="271"/>
      <c r="J217" s="117"/>
    </row>
    <row r="218" spans="1:10" ht="15" customHeight="1" x14ac:dyDescent="0.35">
      <c r="A218" s="1"/>
      <c r="B218" s="277"/>
      <c r="C218" s="90" t="s">
        <v>117</v>
      </c>
      <c r="D218" s="124">
        <v>2981</v>
      </c>
      <c r="E218" s="72">
        <f>50.9582</f>
        <v>50.958199999999998</v>
      </c>
      <c r="F218" s="72">
        <f>1412.18075</f>
        <v>1412.18075</v>
      </c>
      <c r="G218" s="72">
        <f>D218-F218</f>
        <v>1568.81925</v>
      </c>
      <c r="H218" s="72">
        <f>1759.45506</f>
        <v>1759.45506</v>
      </c>
      <c r="I218" s="271"/>
      <c r="J218" s="117"/>
    </row>
    <row r="219" spans="1:10" ht="16.5" customHeight="1" x14ac:dyDescent="0.35">
      <c r="A219" s="1"/>
      <c r="B219" s="277"/>
      <c r="C219" s="179" t="s">
        <v>86</v>
      </c>
      <c r="D219" s="190">
        <f>D218+D215</f>
        <v>8071</v>
      </c>
      <c r="E219" s="190">
        <f>SUM(E215,E218)</f>
        <v>51.860499999999995</v>
      </c>
      <c r="F219" s="190">
        <f>SUM(F215,F218)</f>
        <v>3714.49145</v>
      </c>
      <c r="G219" s="190">
        <f>D219-F219</f>
        <v>4356.5085500000005</v>
      </c>
      <c r="H219" s="190">
        <f>SUM(H215,H218)</f>
        <v>4481.9143700000004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9.47642</f>
        <v>9.4764199999999992</v>
      </c>
      <c r="F237" s="124">
        <f>195.33694</f>
        <v>195.33694</v>
      </c>
      <c r="G237" s="124">
        <f>D237-F237</f>
        <v>604.66305999999997</v>
      </c>
      <c r="H237" s="124">
        <f>280.37954</f>
        <v>280.37954000000002</v>
      </c>
      <c r="I237" s="65"/>
      <c r="J237" s="267"/>
    </row>
    <row r="238" spans="1:10" ht="14.15" customHeight="1" x14ac:dyDescent="0.35">
      <c r="A238" s="1"/>
      <c r="B238" s="277"/>
      <c r="C238" s="90" t="s">
        <v>93</v>
      </c>
      <c r="D238" s="269">
        <v>2193</v>
      </c>
      <c r="E238" s="124">
        <f>4.71641</f>
        <v>4.7164099999999998</v>
      </c>
      <c r="F238" s="124">
        <f>344.06331</f>
        <v>344.06331</v>
      </c>
      <c r="G238" s="124">
        <f>D238-F238</f>
        <v>1848.93669</v>
      </c>
      <c r="H238" s="124">
        <f>525.05982</f>
        <v>525.05981999999995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2.10984</f>
        <v>2.1098400000000002</v>
      </c>
      <c r="I239" s="65"/>
      <c r="J239" s="272"/>
    </row>
    <row r="240" spans="1:10" ht="18.75" customHeight="1" x14ac:dyDescent="0.35">
      <c r="A240" s="65"/>
      <c r="B240" s="273"/>
      <c r="C240" s="146" t="s">
        <v>94</v>
      </c>
      <c r="D240" s="245"/>
      <c r="E240" s="168">
        <f>0.049</f>
        <v>4.9000000000000002E-2</v>
      </c>
      <c r="F240" s="168">
        <f>0.6684</f>
        <v>0.66839999999999999</v>
      </c>
      <c r="G240" s="124">
        <f>D240-F240</f>
        <v>-0.66839999999999999</v>
      </c>
      <c r="H240" s="168">
        <f>0.071</f>
        <v>7.0999999999999994E-2</v>
      </c>
      <c r="I240" s="305"/>
      <c r="J240" s="117"/>
    </row>
    <row r="241" spans="1:10" ht="14.15" customHeight="1" x14ac:dyDescent="0.35">
      <c r="A241" s="1"/>
      <c r="B241" s="277"/>
      <c r="C241" s="179" t="s">
        <v>86</v>
      </c>
      <c r="D241" s="5">
        <f>D226</f>
        <v>3003</v>
      </c>
      <c r="E241" s="190">
        <f>SUM(E237:E240)</f>
        <v>14.241829999999998</v>
      </c>
      <c r="F241" s="190">
        <f>SUM(F237:F240)</f>
        <v>540.12279000000001</v>
      </c>
      <c r="G241" s="190">
        <f>D241-F241</f>
        <v>2462.8772100000001</v>
      </c>
      <c r="H241" s="190">
        <f>H237+H238+H239+H240</f>
        <v>807.62019999999995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136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337.22416999999996</v>
      </c>
      <c r="G262" s="276">
        <f t="shared" si="17"/>
        <v>3373.5624100000005</v>
      </c>
      <c r="H262" s="276">
        <f>H266+H265+H264+H263</f>
        <v>24362.437590000001</v>
      </c>
      <c r="I262" s="276">
        <f t="shared" si="17"/>
        <v>6254.3008600000003</v>
      </c>
      <c r="J262" s="127"/>
    </row>
    <row r="263" spans="1:10" ht="14.15" customHeight="1" x14ac:dyDescent="0.35">
      <c r="A263" s="223"/>
      <c r="B263" s="69"/>
      <c r="C263" s="278" t="s">
        <v>102</v>
      </c>
      <c r="D263" s="279">
        <v>14132</v>
      </c>
      <c r="E263" s="279">
        <v>16670</v>
      </c>
      <c r="F263" s="280">
        <f>186.74793</f>
        <v>186.74793</v>
      </c>
      <c r="G263" s="280">
        <f>1030.80914</f>
        <v>1030.8091400000001</v>
      </c>
      <c r="H263" s="280">
        <f t="shared" ref="H263:H267" si="18">E263-G263</f>
        <v>15639.190860000001</v>
      </c>
      <c r="I263" s="280">
        <f>4018.06226</f>
        <v>4018.0622600000002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390.3525</f>
        <v>390.35250000000002</v>
      </c>
      <c r="H264" s="280">
        <f t="shared" si="18"/>
        <v>3948.6475</v>
      </c>
      <c r="I264" s="280">
        <f>832.04145</f>
        <v>832.04145000000005</v>
      </c>
      <c r="J264" s="127"/>
    </row>
    <row r="265" spans="1:10" ht="14.15" customHeight="1" x14ac:dyDescent="0.35">
      <c r="A265" s="223"/>
      <c r="B265" s="69"/>
      <c r="C265" s="282" t="s">
        <v>99</v>
      </c>
      <c r="D265" s="279">
        <v>1506</v>
      </c>
      <c r="E265" s="279">
        <v>1571</v>
      </c>
      <c r="F265" s="280">
        <f>25.44504</f>
        <v>25.445039999999999</v>
      </c>
      <c r="G265" s="280">
        <f>890.23478</f>
        <v>890.23478</v>
      </c>
      <c r="H265" s="280">
        <f t="shared" si="18"/>
        <v>680.76522</v>
      </c>
      <c r="I265" s="280">
        <f>1034.44669</f>
        <v>1034.44669</v>
      </c>
      <c r="J265" s="127"/>
    </row>
    <row r="266" spans="1:10" ht="14.15" customHeight="1" x14ac:dyDescent="0.35">
      <c r="A266" s="223"/>
      <c r="B266" s="69"/>
      <c r="C266" s="284" t="s">
        <v>122</v>
      </c>
      <c r="D266" s="285">
        <v>5043</v>
      </c>
      <c r="E266" s="285">
        <v>5156</v>
      </c>
      <c r="F266" s="280">
        <f>125.0312</f>
        <v>125.0312</v>
      </c>
      <c r="G266" s="280">
        <f>1062.16599</f>
        <v>1062.16599</v>
      </c>
      <c r="H266" s="280">
        <f t="shared" si="18"/>
        <v>4093.83401</v>
      </c>
      <c r="I266" s="280">
        <f>369.75046</f>
        <v>369.75045999999998</v>
      </c>
      <c r="J266" s="127"/>
    </row>
    <row r="267" spans="1:10" ht="14.15" customHeight="1" x14ac:dyDescent="0.35">
      <c r="A267" s="223"/>
      <c r="B267" s="69"/>
      <c r="C267" s="287" t="s">
        <v>59</v>
      </c>
      <c r="D267" s="288">
        <v>5500</v>
      </c>
      <c r="E267" s="288">
        <v>5500</v>
      </c>
      <c r="F267" s="290">
        <f>322.021</f>
        <v>322.02100000000002</v>
      </c>
      <c r="G267" s="290">
        <f>2647.71644</f>
        <v>2647.7164400000001</v>
      </c>
      <c r="H267" s="290">
        <f t="shared" si="18"/>
        <v>2852.2835599999999</v>
      </c>
      <c r="I267" s="290">
        <f>1723.62186</f>
        <v>1723.62186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34.660359999999997</v>
      </c>
      <c r="G268" s="291">
        <f>G270+G269</f>
        <v>1198.0857900000001</v>
      </c>
      <c r="H268" s="291">
        <f>E268-G268</f>
        <v>6801.9142099999999</v>
      </c>
      <c r="I268" s="291">
        <f>I270+I269</f>
        <v>1423.21542</v>
      </c>
      <c r="J268" s="127"/>
    </row>
    <row r="269" spans="1:10" ht="14.15" customHeight="1" x14ac:dyDescent="0.35">
      <c r="A269" s="223"/>
      <c r="B269" s="69"/>
      <c r="C269" s="282" t="s">
        <v>53</v>
      </c>
      <c r="D269" s="293"/>
      <c r="E269" s="279"/>
      <c r="F269" s="280">
        <f>0</f>
        <v>0</v>
      </c>
      <c r="G269" s="280">
        <f>447.82058</f>
        <v>447.82058000000001</v>
      </c>
      <c r="H269" s="280"/>
      <c r="I269" s="280">
        <f>522.50076</f>
        <v>522.50076000000001</v>
      </c>
      <c r="J269" s="127"/>
    </row>
    <row r="270" spans="1:10" ht="14.15" customHeight="1" x14ac:dyDescent="0.35">
      <c r="A270" s="223"/>
      <c r="B270" s="69"/>
      <c r="C270" s="295" t="s">
        <v>103</v>
      </c>
      <c r="D270" s="296"/>
      <c r="E270" s="298"/>
      <c r="F270" s="299">
        <f>34.66036</f>
        <v>34.660359999999997</v>
      </c>
      <c r="G270" s="299">
        <f>750.26521</f>
        <v>750.26521000000002</v>
      </c>
      <c r="H270" s="299"/>
      <c r="I270" s="299">
        <f>900.71466</f>
        <v>900.71465999999998</v>
      </c>
      <c r="J270" s="127"/>
    </row>
    <row r="271" spans="1:10" ht="14.15" customHeight="1" x14ac:dyDescent="0.3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0.0135</f>
        <v>1.35E-2</v>
      </c>
      <c r="H271" s="290">
        <f>E271-G271</f>
        <v>12.986499999999999</v>
      </c>
      <c r="I271" s="290">
        <f>0.0264</f>
        <v>2.64E-2</v>
      </c>
      <c r="J271" s="127"/>
    </row>
    <row r="272" spans="1:10" ht="14.15" customHeight="1" x14ac:dyDescent="0.35">
      <c r="A272" s="223"/>
      <c r="B272" s="69"/>
      <c r="C272" s="300" t="s">
        <v>104</v>
      </c>
      <c r="D272" s="303"/>
      <c r="E272" s="304"/>
      <c r="F272" s="290">
        <f>0.31872</f>
        <v>0.31872</v>
      </c>
      <c r="G272" s="290">
        <f>4.4474</f>
        <v>4.4474</v>
      </c>
      <c r="H272" s="290">
        <f>E272-G272</f>
        <v>-4.4474</v>
      </c>
      <c r="I272" s="290">
        <f>5.08708</f>
        <v>5.0870800000000003</v>
      </c>
      <c r="J272" s="127"/>
    </row>
    <row r="273" spans="1:10" ht="19.5" customHeight="1" x14ac:dyDescent="0.3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694.22424999999987</v>
      </c>
      <c r="G273" s="308">
        <f t="shared" si="19"/>
        <v>7223.8255400000007</v>
      </c>
      <c r="H273" s="308">
        <f>H262+H267+H268+H271+H272</f>
        <v>34025.174460000002</v>
      </c>
      <c r="I273" s="308">
        <f t="shared" si="19"/>
        <v>9406.2516200000009</v>
      </c>
      <c r="J273" s="127"/>
    </row>
    <row r="274" spans="1:10" ht="14.15" customHeight="1" x14ac:dyDescent="0.3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130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112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120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107</v>
      </c>
      <c r="D293" s="21" t="s">
        <v>108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5" customHeight="1" x14ac:dyDescent="0.35">
      <c r="A294" s="223"/>
      <c r="B294" s="69"/>
      <c r="C294" s="287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23"/>
      <c r="B297" s="69"/>
      <c r="C297" s="287" t="s">
        <v>110</v>
      </c>
      <c r="D297" s="9">
        <v>894</v>
      </c>
      <c r="E297" s="25">
        <f>SUM(E298:E299)</f>
        <v>0</v>
      </c>
      <c r="F297" s="25">
        <f>SUM(F298:F299)</f>
        <v>986.36924999999997</v>
      </c>
      <c r="G297" s="82">
        <f>D297-F297</f>
        <v>-92.369249999999965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763.98023</f>
        <v>763.98023000000001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23"/>
      <c r="B300" s="69"/>
      <c r="C300" s="287" t="s">
        <v>111</v>
      </c>
      <c r="D300" s="9">
        <v>893</v>
      </c>
      <c r="E300" s="34">
        <f>SUM(E301:E302)</f>
        <v>32.996700000000004</v>
      </c>
      <c r="F300" s="34">
        <f>SUM(F301:F302)</f>
        <v>621.96276</v>
      </c>
      <c r="G300" s="82">
        <f>D300-F300</f>
        <v>271.03724</v>
      </c>
      <c r="H300" s="34">
        <f>SUM(H301:H302)</f>
        <v>943.53570999999999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23.7835</f>
        <v>23.7835</v>
      </c>
      <c r="F301" s="29">
        <f>420.04154</f>
        <v>420.04154</v>
      </c>
      <c r="G301" s="94"/>
      <c r="H301" s="29">
        <f>663.14324</f>
        <v>663.14323999999999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9.2132</f>
        <v>9.2132000000000005</v>
      </c>
      <c r="F302" s="29">
        <f>201.92122</f>
        <v>201.92122000000001</v>
      </c>
      <c r="G302" s="105"/>
      <c r="H302" s="29">
        <f>280.39247</f>
        <v>280.39247</v>
      </c>
      <c r="I302" s="145"/>
      <c r="J302" s="127"/>
    </row>
    <row r="303" spans="1:10" ht="14.15" customHeight="1" x14ac:dyDescent="0.3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86</v>
      </c>
      <c r="D304" s="38">
        <f>D294+D297+D300</f>
        <v>2681</v>
      </c>
      <c r="E304" s="39">
        <f>E294+E297+E300+E303</f>
        <v>32.996700000000004</v>
      </c>
      <c r="F304" s="39">
        <f>F294+F297+F300+F303</f>
        <v>2631.5378900000001</v>
      </c>
      <c r="G304" s="40">
        <f>D304-F304</f>
        <v>49.462109999999939</v>
      </c>
      <c r="H304" s="39">
        <f>H294+H297+H300+H303</f>
        <v>3153.9799199999998</v>
      </c>
      <c r="I304" s="26"/>
      <c r="J304" s="127"/>
    </row>
    <row r="305" spans="1:10" ht="42" customHeight="1" x14ac:dyDescent="0.35">
      <c r="A305" s="223"/>
      <c r="B305" s="230"/>
      <c r="C305" s="326" t="s">
        <v>115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112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157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107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35">
      <c r="A322" s="223"/>
      <c r="B322" s="69"/>
      <c r="C322" s="236" t="s">
        <v>154</v>
      </c>
      <c r="D322" s="237">
        <v>248</v>
      </c>
      <c r="E322" s="29">
        <f>0.15344</f>
        <v>0.15343999999999999</v>
      </c>
      <c r="F322" s="29">
        <f>80.40926</f>
        <v>80.409260000000003</v>
      </c>
      <c r="G322" s="238">
        <f>D322-F322</f>
        <v>167.59073999999998</v>
      </c>
      <c r="H322" s="29">
        <f>6.64344</f>
        <v>6.64344</v>
      </c>
      <c r="I322" s="242"/>
      <c r="J322" s="127"/>
    </row>
    <row r="323" spans="1:10" ht="17.5" customHeight="1" x14ac:dyDescent="0.35">
      <c r="A323" s="223"/>
      <c r="B323" s="69"/>
      <c r="C323" s="239" t="s">
        <v>155</v>
      </c>
      <c r="D323" s="240">
        <v>22048</v>
      </c>
      <c r="E323" s="29">
        <f>14.8131</f>
        <v>14.8131</v>
      </c>
      <c r="F323" s="29">
        <f>303.82855</f>
        <v>303.82855000000001</v>
      </c>
      <c r="G323" s="241">
        <f>D323-F323</f>
        <v>21744.171450000002</v>
      </c>
      <c r="H323" s="29">
        <f>362.24435</f>
        <v>362.24435</v>
      </c>
      <c r="I323" s="26"/>
      <c r="J323" s="127"/>
    </row>
    <row r="324" spans="1:10" ht="17.149999999999999" customHeight="1" x14ac:dyDescent="0.35">
      <c r="A324" s="223"/>
      <c r="B324" s="69"/>
      <c r="C324" s="306" t="s">
        <v>86</v>
      </c>
      <c r="D324" s="229">
        <f>D322+D323</f>
        <v>22296</v>
      </c>
      <c r="E324" s="39">
        <f>E323+E322</f>
        <v>14.96654</v>
      </c>
      <c r="F324" s="39">
        <f>F323+F322</f>
        <v>384.23781000000002</v>
      </c>
      <c r="G324" s="39">
        <f>G323+G322</f>
        <v>21911.762190000001</v>
      </c>
      <c r="H324" s="39">
        <f>H323+H322</f>
        <v>368.88779</v>
      </c>
      <c r="I324" s="26"/>
      <c r="J324" s="127"/>
    </row>
    <row r="325" spans="1:10" ht="22.5" customHeight="1" x14ac:dyDescent="0.35">
      <c r="A325" s="223"/>
      <c r="B325" s="69"/>
      <c r="C325" s="322" t="s">
        <v>156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112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149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107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3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156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21&amp;R26.05.2025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2025-05-26T12:32:28Z</dcterms:modified>
</cp:coreProperties>
</file>