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6826DB07-48F3-4D69-B75B-D32F19E1AE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E327" i="1" s="1"/>
  <c r="H328" i="1"/>
  <c r="H327" i="1" s="1"/>
  <c r="F328" i="1"/>
  <c r="E328" i="1"/>
  <c r="F327" i="1"/>
  <c r="G327" i="1" s="1"/>
  <c r="H326" i="1"/>
  <c r="H324" i="1" s="1"/>
  <c r="F326" i="1"/>
  <c r="E326" i="1"/>
  <c r="H325" i="1"/>
  <c r="F325" i="1"/>
  <c r="E325" i="1"/>
  <c r="F324" i="1"/>
  <c r="G324" i="1" s="1"/>
  <c r="E324" i="1"/>
  <c r="H323" i="1"/>
  <c r="F323" i="1"/>
  <c r="E323" i="1"/>
  <c r="H322" i="1"/>
  <c r="F322" i="1"/>
  <c r="F321" i="1" s="1"/>
  <c r="E322" i="1"/>
  <c r="E321" i="1" s="1"/>
  <c r="E331" i="1" s="1"/>
  <c r="H321" i="1"/>
  <c r="E299" i="1"/>
  <c r="I298" i="1"/>
  <c r="H298" i="1"/>
  <c r="G298" i="1"/>
  <c r="F298" i="1"/>
  <c r="I297" i="1"/>
  <c r="G297" i="1"/>
  <c r="H297" i="1" s="1"/>
  <c r="F297" i="1"/>
  <c r="I296" i="1"/>
  <c r="G296" i="1"/>
  <c r="G294" i="1" s="1"/>
  <c r="H294" i="1" s="1"/>
  <c r="F296" i="1"/>
  <c r="I295" i="1"/>
  <c r="G295" i="1"/>
  <c r="F295" i="1"/>
  <c r="I294" i="1"/>
  <c r="F294" i="1"/>
  <c r="I293" i="1"/>
  <c r="G293" i="1"/>
  <c r="H293" i="1" s="1"/>
  <c r="F293" i="1"/>
  <c r="I292" i="1"/>
  <c r="G292" i="1"/>
  <c r="H292" i="1" s="1"/>
  <c r="F292" i="1"/>
  <c r="I291" i="1"/>
  <c r="G291" i="1"/>
  <c r="G288" i="1" s="1"/>
  <c r="F291" i="1"/>
  <c r="I290" i="1"/>
  <c r="G290" i="1"/>
  <c r="H290" i="1" s="1"/>
  <c r="F290" i="1"/>
  <c r="I289" i="1"/>
  <c r="G289" i="1"/>
  <c r="H289" i="1" s="1"/>
  <c r="F289" i="1"/>
  <c r="I288" i="1"/>
  <c r="I299" i="1" s="1"/>
  <c r="F288" i="1"/>
  <c r="F299" i="1" s="1"/>
  <c r="E288" i="1"/>
  <c r="D288" i="1"/>
  <c r="D299" i="1" s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H262" i="1" s="1"/>
  <c r="F258" i="1"/>
  <c r="G258" i="1" s="1"/>
  <c r="E258" i="1"/>
  <c r="E262" i="1" s="1"/>
  <c r="D251" i="1"/>
  <c r="E207" i="1"/>
  <c r="D207" i="1"/>
  <c r="G206" i="1"/>
  <c r="H205" i="1"/>
  <c r="F205" i="1"/>
  <c r="G205" i="1" s="1"/>
  <c r="E205" i="1"/>
  <c r="H204" i="1"/>
  <c r="H207" i="1" s="1"/>
  <c r="G204" i="1"/>
  <c r="F204" i="1"/>
  <c r="F207" i="1" s="1"/>
  <c r="G207" i="1" s="1"/>
  <c r="E204" i="1"/>
  <c r="D184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E184" i="1" s="1"/>
  <c r="H177" i="1"/>
  <c r="G177" i="1"/>
  <c r="F177" i="1"/>
  <c r="E177" i="1"/>
  <c r="H176" i="1"/>
  <c r="F176" i="1"/>
  <c r="E176" i="1"/>
  <c r="H175" i="1"/>
  <c r="H184" i="1" s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I133" i="1" s="1"/>
  <c r="G140" i="1"/>
  <c r="H140" i="1" s="1"/>
  <c r="H139" i="1" s="1"/>
  <c r="F140" i="1"/>
  <c r="G139" i="1"/>
  <c r="F139" i="1"/>
  <c r="E139" i="1"/>
  <c r="E133" i="1" s="1"/>
  <c r="E150" i="1" s="1"/>
  <c r="I138" i="1"/>
  <c r="H138" i="1"/>
  <c r="F138" i="1"/>
  <c r="I137" i="1"/>
  <c r="H137" i="1"/>
  <c r="F137" i="1"/>
  <c r="I136" i="1"/>
  <c r="H136" i="1"/>
  <c r="F136" i="1"/>
  <c r="I135" i="1"/>
  <c r="H135" i="1"/>
  <c r="G134" i="1"/>
  <c r="G133" i="1" s="1"/>
  <c r="F135" i="1"/>
  <c r="F134" i="1" s="1"/>
  <c r="F133" i="1" s="1"/>
  <c r="I134" i="1"/>
  <c r="E134" i="1"/>
  <c r="I132" i="1"/>
  <c r="F132" i="1"/>
  <c r="H131" i="1"/>
  <c r="I130" i="1"/>
  <c r="I128" i="1" s="1"/>
  <c r="G130" i="1"/>
  <c r="H130" i="1" s="1"/>
  <c r="F130" i="1"/>
  <c r="I129" i="1"/>
  <c r="G129" i="1"/>
  <c r="G128" i="1" s="1"/>
  <c r="F129" i="1"/>
  <c r="F128" i="1" s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F96" i="1" s="1"/>
  <c r="F95" i="1" s="1"/>
  <c r="I96" i="1"/>
  <c r="I95" i="1" s="1"/>
  <c r="G96" i="1"/>
  <c r="G95" i="1" s="1"/>
  <c r="E96" i="1"/>
  <c r="D96" i="1"/>
  <c r="D95" i="1" s="1"/>
  <c r="D107" i="1" s="1"/>
  <c r="E95" i="1"/>
  <c r="I94" i="1"/>
  <c r="G94" i="1"/>
  <c r="H94" i="1" s="1"/>
  <c r="F94" i="1"/>
  <c r="I93" i="1"/>
  <c r="I92" i="1" s="1"/>
  <c r="I107" i="1" s="1"/>
  <c r="G93" i="1"/>
  <c r="G92" i="1" s="1"/>
  <c r="G107" i="1" s="1"/>
  <c r="F93" i="1"/>
  <c r="F92" i="1"/>
  <c r="F107" i="1" s="1"/>
  <c r="E92" i="1"/>
  <c r="E107" i="1" s="1"/>
  <c r="C89" i="1"/>
  <c r="H85" i="1"/>
  <c r="F85" i="1"/>
  <c r="D85" i="1"/>
  <c r="G61" i="1"/>
  <c r="G60" i="1"/>
  <c r="H55" i="1"/>
  <c r="G55" i="1"/>
  <c r="F55" i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4" i="1" s="1"/>
  <c r="I35" i="1"/>
  <c r="G35" i="1"/>
  <c r="G34" i="1" s="1"/>
  <c r="F35" i="1"/>
  <c r="I33" i="1"/>
  <c r="G33" i="1"/>
  <c r="H33" i="1" s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F29" i="1"/>
  <c r="I28" i="1"/>
  <c r="G28" i="1"/>
  <c r="H28" i="1" s="1"/>
  <c r="F28" i="1"/>
  <c r="F27" i="1" s="1"/>
  <c r="I25" i="1"/>
  <c r="I23" i="1" s="1"/>
  <c r="G25" i="1"/>
  <c r="H25" i="1" s="1"/>
  <c r="H23" i="1" s="1"/>
  <c r="F25" i="1"/>
  <c r="I24" i="1"/>
  <c r="G24" i="1"/>
  <c r="H24" i="1" s="1"/>
  <c r="F24" i="1"/>
  <c r="F23" i="1" s="1"/>
  <c r="G23" i="1"/>
  <c r="H16" i="1"/>
  <c r="F16" i="1"/>
  <c r="D16" i="1"/>
  <c r="H134" i="1" l="1"/>
  <c r="H133" i="1" s="1"/>
  <c r="G150" i="1"/>
  <c r="F26" i="1"/>
  <c r="F44" i="1" s="1"/>
  <c r="G27" i="1"/>
  <c r="G26" i="1" s="1"/>
  <c r="G44" i="1" s="1"/>
  <c r="I34" i="1"/>
  <c r="I27" i="1"/>
  <c r="F150" i="1"/>
  <c r="G299" i="1"/>
  <c r="H331" i="1"/>
  <c r="H92" i="1"/>
  <c r="H96" i="1"/>
  <c r="H95" i="1" s="1"/>
  <c r="G184" i="1"/>
  <c r="G321" i="1"/>
  <c r="G331" i="1" s="1"/>
  <c r="F331" i="1"/>
  <c r="H288" i="1"/>
  <c r="H299" i="1" s="1"/>
  <c r="H34" i="1"/>
  <c r="I150" i="1"/>
  <c r="H29" i="1"/>
  <c r="H27" i="1" s="1"/>
  <c r="H35" i="1"/>
  <c r="H93" i="1"/>
  <c r="H129" i="1"/>
  <c r="H128" i="1" s="1"/>
  <c r="F184" i="1"/>
  <c r="H291" i="1"/>
  <c r="F262" i="1"/>
  <c r="G262" i="1" s="1"/>
  <c r="H150" i="1" l="1"/>
  <c r="I26" i="1"/>
  <c r="I44" i="1" s="1"/>
  <c r="H107" i="1"/>
  <c r="H26" i="1"/>
  <c r="H44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<sst xmlns="http://schemas.openxmlformats.org/spreadsheetml/2006/main" count="330" uniqueCount="148">
  <si>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</si>
  <si>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</si>
  <si>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</si>
  <si>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</si>
  <si>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</si>
  <si>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</si>
  <si>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</si>
  <si>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</si>
  <si>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</si>
  <si>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</si>
  <si>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</si>
  <si>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</si>
  <si>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</si>
  <si>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</si>
  <si>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</si>
  <si>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</si>
  <si>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</si>
  <si>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</si>
  <si>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</si>
  <si>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</si>
  <si>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</si>
  <si>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</si>
  <si>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</si>
  <si>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</si>
  <si>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</si>
  <si>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</si>
  <si>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</si>
  <si>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</si>
  <si>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</si>
  <si>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</si>
  <si>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</si>
  <si>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</si>
  <si>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</si>
  <si>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</si>
  <si>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</si>
  <si>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</si>
  <si>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</si>
  <si>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</si>
  <si>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</si>
  <si>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</si>
  <si>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</si>
  <si>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</si>
  <si>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</si>
  <si>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</si>
  <si>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</si>
  <si>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</si>
  <si>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</si>
  <si>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</si>
  <si>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</si>
  <si>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</si>
  <si>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</si>
  <si>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</si>
  <si>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</si>
  <si>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</si>
  <si>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</si>
  <si>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</si>
  <si>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</si>
  <si>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</si>
  <si>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</si>
  <si>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</si>
  <si>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</si>
  <si>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</si>
  <si>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</si>
  <si>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</si>
  <si>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</si>
  <si>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</si>
  <si>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</si>
  <si>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</si>
  <si>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</si>
  <si>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</si>
  <si>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</si>
  <si>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</si>
  <si>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</si>
  <si>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</si>
  <si>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</si>
  <si>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</si>
  <si>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</si>
  <si>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</si>
  <si>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</si>
  <si>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</si>
  <si>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</si>
  <si>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</si>
  <si>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</si>
  <si>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</si>
  <si>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</si>
  <si>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</si>
  <si>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</si>
  <si>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</si>
  <si>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</si>
  <si>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</si>
  <si>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</si>
  <si>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</si>
  <si>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</si>
  <si>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</si>
  <si>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</si>
  <si>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</si>
  <si>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</si>
  <si>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</si>
  <si>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</si>
  <si>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</si>
  <si>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</si>
  <si>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</si>
  <si>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</si>
  <si>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</si>
  <si>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</si>
  <si>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</si>
  <si>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</si>
  <si>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</si>
  <si>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</si>
  <si>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</si>
  <si>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</si>
  <si>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</si>
  <si>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</si>
  <si>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</si>
  <si>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</si>
  <si>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</si>
  <si>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</si>
  <si>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</si>
  <si>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</si>
  <si>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</si>
  <si>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</si>
  <si>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</si>
  <si>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</si>
  <si>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</si>
  <si>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</si>
  <si>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</si>
  <si>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</si>
  <si>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</si>
  <si>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</si>
  <si>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</si>
  <si>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</si>
  <si>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</si>
  <si>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</si>
  <si>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</si>
  <si>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</si>
  <si>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</si>
  <si>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</si>
  <si>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</si>
  <si>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</si>
  <si>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</si>
  <si>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14</t>
  </si>
  <si>
    <t>FANGST T.O.M UKE 14</t>
  </si>
  <si>
    <t>RESTKVOTER UKE 14</t>
  </si>
  <si>
    <t>FANGST T.O.M UKE 14 2022</t>
  </si>
  <si>
    <r>
      <t>3</t>
    </r>
    <r>
      <rPr>
        <sz val="9"/>
        <color indexed="8"/>
        <rFont val="Calibri"/>
        <family val="2"/>
      </rPr>
      <t xml:space="preserve"> Det er fisket 845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</si>
  <si>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358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</si>
  <si>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</si>
  <si>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125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</si>
</sst>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topLeftCell="A118" zoomScale="85" zoomScaleNormal="85" zoomScaleSheetLayoutView="100" zoomScalePageLayoutView="85" workbookViewId="0">
      <selection activeCell="E129" sqref="E129:E13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276.51749999999998</v>
      </c>
      <c r="G23" s="28">
        <f t="shared" si="0"/>
        <v>31843.063119999999</v>
      </c>
      <c r="H23" s="11">
        <f t="shared" si="0"/>
        <v>54983.936880000001</v>
      </c>
      <c r="I23" s="11">
        <f t="shared" si="0"/>
        <v>41380.575259999998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276.5175</f>
        <v>276.51749999999998</v>
      </c>
      <c r="G24" s="23">
        <f>31676.25793</f>
        <v>31676.25793</v>
      </c>
      <c r="H24" s="23">
        <f>E24-G24</f>
        <v>54368.74207</v>
      </c>
      <c r="I24" s="23">
        <f>41166.62169</f>
        <v>41166.62169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166.80519</f>
        <v>166.80519000000001</v>
      </c>
      <c r="H25" s="23">
        <f>E25-G25</f>
        <v>615.19480999999996</v>
      </c>
      <c r="I25" s="23">
        <f>213.95357</f>
        <v>213.95357000000001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11883.088400000001</v>
      </c>
      <c r="G26" s="11">
        <f t="shared" si="1"/>
        <v>122300.21948</v>
      </c>
      <c r="H26" s="11">
        <f t="shared" si="1"/>
        <v>75269.78052</v>
      </c>
      <c r="I26" s="11">
        <f t="shared" si="1"/>
        <v>153439.28297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9761.2358600000007</v>
      </c>
      <c r="G27" s="134">
        <f t="shared" ref="G27:I27" si="2">G28+G29+G30+G31+G32</f>
        <v>100592.64689999999</v>
      </c>
      <c r="H27" s="134">
        <f t="shared" si="2"/>
        <v>52058.3531</v>
      </c>
      <c r="I27" s="134">
        <f t="shared" si="2"/>
        <v>130869.84951999999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3129.43707</f>
        <v>3129.4370699999999</v>
      </c>
      <c r="G28" s="129">
        <f>27224.33549 - F57</f>
        <v>27224.335490000001</v>
      </c>
      <c r="H28" s="129">
        <f t="shared" ref="H28:H40" si="3">E28-G28</f>
        <v>12324.664509999999</v>
      </c>
      <c r="I28" s="129">
        <f>31383.03235 - H57</f>
        <v>31383.032350000001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2549.48943</f>
        <v>2549.4894300000001</v>
      </c>
      <c r="G29" s="129">
        <f>30337.72338 - F58</f>
        <v>30337.723379999999</v>
      </c>
      <c r="H29" s="129">
        <f t="shared" si="3"/>
        <v>10426.276620000001</v>
      </c>
      <c r="I29" s="129">
        <f>38351.5863499999 - H58</f>
        <v>38351.586349999998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2781.44661</f>
        <v>2781.44661</v>
      </c>
      <c r="G30" s="129">
        <f>25160.31497 - F59</f>
        <v>25160.314969999999</v>
      </c>
      <c r="H30" s="129">
        <f t="shared" si="3"/>
        <v>12106.685030000001</v>
      </c>
      <c r="I30" s="129">
        <f>34610.37015 - H59</f>
        <v>34610.370150000002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1300.86275</f>
        <v>1300.86275</v>
      </c>
      <c r="G31" s="129">
        <f>17870.27306 - F60</f>
        <v>17870.27306</v>
      </c>
      <c r="H31" s="129">
        <f t="shared" si="3"/>
        <v>7536.7269400000005</v>
      </c>
      <c r="I31" s="129">
        <f>26524.86067 - H60</f>
        <v>26524.860669999998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3.16476</f>
        <v>3.1647599999999998</v>
      </c>
      <c r="G33" s="134">
        <f>8117.00335</f>
        <v>8117.00335</v>
      </c>
      <c r="H33" s="134">
        <f t="shared" si="3"/>
        <v>15468.996650000001</v>
      </c>
      <c r="I33" s="134">
        <f>10663.65247</f>
        <v>10663.652470000001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2118.6877800000002</v>
      </c>
      <c r="G34" s="134">
        <f>G35+G36</f>
        <v>13590.569229999999</v>
      </c>
      <c r="H34" s="134">
        <f t="shared" si="3"/>
        <v>7742.4307700000008</v>
      </c>
      <c r="I34" s="134">
        <f>I35+I36</f>
        <v>11905.78098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2118.68778</f>
        <v>2118.6877800000002</v>
      </c>
      <c r="G35" s="134">
        <f>14751.56923 - F61 - F62</f>
        <v>13590.569229999999</v>
      </c>
      <c r="H35" s="129">
        <f t="shared" si="3"/>
        <v>6542.4307700000008</v>
      </c>
      <c r="I35" s="129">
        <f>12503.78098 - H61 - H62</f>
        <v>11905.78098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4.3383</f>
        <v>4.3383000000000003</v>
      </c>
      <c r="G37" s="141">
        <f>8.7183</f>
        <v>8.7182999999999993</v>
      </c>
      <c r="H37" s="141">
        <f t="shared" si="3"/>
        <v>2991.2817</v>
      </c>
      <c r="I37" s="141">
        <f>235.11345</f>
        <v>235.11345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14.316</f>
        <v>14.316000000000001</v>
      </c>
      <c r="G38" s="100">
        <f>379.32268</f>
        <v>379.32267999999999</v>
      </c>
      <c r="H38" s="100">
        <f t="shared" si="3"/>
        <v>471.67732000000001</v>
      </c>
      <c r="I38" s="100">
        <f>370.07387</f>
        <v>370.07387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292</v>
      </c>
      <c r="G39" s="100">
        <f>F61</f>
        <v>1161</v>
      </c>
      <c r="H39" s="100">
        <f t="shared" si="3"/>
        <v>1887</v>
      </c>
      <c r="I39" s="100">
        <f>H61</f>
        <v>598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20.66015</f>
        <v>20.660150000000002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12490.923350000001</v>
      </c>
      <c r="G44" s="78">
        <f t="shared" si="4"/>
        <v>162771.88458000004</v>
      </c>
      <c r="H44" s="78">
        <f t="shared" si="4"/>
        <v>135924.11541999996</v>
      </c>
      <c r="I44" s="78">
        <f t="shared" si="4"/>
        <v>203143.98397999999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292</v>
      </c>
      <c r="F61" s="141">
        <v>1161</v>
      </c>
      <c r="G61" s="141">
        <f>D61-F61</f>
        <v>1839</v>
      </c>
      <c r="H61" s="141">
        <v>598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1799.49575</v>
      </c>
      <c r="G92" s="11">
        <f t="shared" si="5"/>
        <v>26464.097089999999</v>
      </c>
      <c r="H92" s="11">
        <f t="shared" si="5"/>
        <v>8334.9029100000007</v>
      </c>
      <c r="I92" s="11">
        <f t="shared" si="5"/>
        <v>29092.395809999998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1799.49575</f>
        <v>1799.49575</v>
      </c>
      <c r="G93" s="23">
        <f>26144.45119</f>
        <v>26144.45119</v>
      </c>
      <c r="H93" s="23">
        <f>E93-G93</f>
        <v>7842.5488100000002</v>
      </c>
      <c r="I93" s="23">
        <f>28597.71862</f>
        <v>28597.71862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319.6459</f>
        <v>319.64589999999998</v>
      </c>
      <c r="H94" s="52">
        <f>E94-G94</f>
        <v>492.35410000000002</v>
      </c>
      <c r="I94" s="52">
        <f>494.67719</f>
        <v>494.67719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541.21321999999998</v>
      </c>
      <c r="G95" s="11">
        <f t="shared" si="6"/>
        <v>12118.769759999999</v>
      </c>
      <c r="H95" s="11">
        <f t="shared" si="6"/>
        <v>47381.23023999999</v>
      </c>
      <c r="I95" s="11">
        <f t="shared" si="6"/>
        <v>14241.428290000002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465.54165999999998</v>
      </c>
      <c r="G96" s="134">
        <f t="shared" si="7"/>
        <v>7732.7623700000004</v>
      </c>
      <c r="H96" s="134">
        <f t="shared" si="7"/>
        <v>36758.237629999996</v>
      </c>
      <c r="I96" s="134">
        <f t="shared" si="7"/>
        <v>9826.0082300000013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90.79636</f>
        <v>90.796360000000007</v>
      </c>
      <c r="G97" s="129">
        <f>1626.66594</f>
        <v>1626.6659400000001</v>
      </c>
      <c r="H97" s="129">
        <f t="shared" ref="H97:H104" si="8">E97-G97</f>
        <v>10257.03406</v>
      </c>
      <c r="I97" s="129">
        <f>1838.9807</f>
        <v>1838.9807000000001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149.5859</f>
        <v>149.58590000000001</v>
      </c>
      <c r="G98" s="129">
        <f>2210.09366</f>
        <v>2210.09366</v>
      </c>
      <c r="H98" s="129">
        <f t="shared" si="8"/>
        <v>10455.00634</v>
      </c>
      <c r="I98" s="129">
        <f>3157.86253</f>
        <v>3157.8625299999999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29.12958</f>
        <v>29.129580000000001</v>
      </c>
      <c r="G99" s="129">
        <f>1786.70671</f>
        <v>1786.7067099999999</v>
      </c>
      <c r="H99" s="129">
        <f t="shared" si="8"/>
        <v>10178.89329</v>
      </c>
      <c r="I99" s="129">
        <f>3141.09414</f>
        <v>3141.0941400000002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196.02982</f>
        <v>196.02982</v>
      </c>
      <c r="G100" s="129">
        <f>2109.29606</f>
        <v>2109.2960600000001</v>
      </c>
      <c r="H100" s="129">
        <f t="shared" si="8"/>
        <v>5867.3039399999998</v>
      </c>
      <c r="I100" s="129">
        <f>1688.07086</f>
        <v>1688.07086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15.71832</f>
        <v>15.71832</v>
      </c>
      <c r="G101" s="134">
        <f>3458.99745</f>
        <v>3458.9974499999998</v>
      </c>
      <c r="H101" s="134">
        <f t="shared" si="8"/>
        <v>6932.0025500000002</v>
      </c>
      <c r="I101" s="134">
        <f>3733.97551</f>
        <v>3733.9755100000002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59.95324</f>
        <v>59.953240000000001</v>
      </c>
      <c r="G102" s="77">
        <f>927.00994</f>
        <v>927.00994000000003</v>
      </c>
      <c r="H102" s="77">
        <f t="shared" si="8"/>
        <v>3690.9900600000001</v>
      </c>
      <c r="I102" s="77">
        <f>681.44455</f>
        <v>681.44455000000005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0.0998</f>
        <v>9.98E-2</v>
      </c>
      <c r="G103" s="100">
        <f>11.22896</f>
        <v>11.228960000000001</v>
      </c>
      <c r="H103" s="100">
        <f t="shared" si="8"/>
        <v>308.77103999999997</v>
      </c>
      <c r="I103" s="100">
        <f>21.74309</f>
        <v>21.743089999999999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2.63211</f>
        <v>2.6321099999999999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2343.4408800000001</v>
      </c>
      <c r="G107" s="78">
        <f t="shared" si="9"/>
        <v>38902.863609999986</v>
      </c>
      <c r="H107" s="78">
        <f t="shared" si="9"/>
        <v>56066.136390000007</v>
      </c>
      <c r="I107" s="78">
        <f t="shared" si="9"/>
        <v>43699.30197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73.881450000000001</v>
      </c>
      <c r="G128" s="11">
        <f t="shared" si="10"/>
        <v>26308.435150000001</v>
      </c>
      <c r="H128" s="11">
        <f t="shared" si="10"/>
        <v>44232.564849999995</v>
      </c>
      <c r="I128" s="11">
        <f t="shared" si="10"/>
        <v>22430.421299999998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73.88145</f>
        <v>73.881450000000001</v>
      </c>
      <c r="G129" s="23">
        <f>22564.11995</f>
        <v>22564.11995</v>
      </c>
      <c r="H129" s="23">
        <f>E129-G129</f>
        <v>33527.88005</v>
      </c>
      <c r="I129" s="23">
        <f>17621.0032</f>
        <v>17621.003199999999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3744.3152</f>
        <v>3744.3152</v>
      </c>
      <c r="H130" s="23">
        <f>E130-G130</f>
        <v>10204.684799999999</v>
      </c>
      <c r="I130" s="23">
        <f>4809.4181</f>
        <v>4809.4180999999999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0</f>
        <v>0</v>
      </c>
      <c r="G132" s="97">
        <f>138.14053+845.10084</f>
        <v>983.24136999999996</v>
      </c>
      <c r="H132" s="97">
        <f>E132-G132</f>
        <v>48188.758629999997</v>
      </c>
      <c r="I132" s="97">
        <f>40.023</f>
        <v>40.023000000000003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1053.20498</v>
      </c>
      <c r="G133" s="96">
        <f t="shared" ref="G133" si="11">G134+G139+G142</f>
        <v>35877.30169</v>
      </c>
      <c r="H133" s="96">
        <f>H134+H139+H142</f>
        <v>45062.698310000007</v>
      </c>
      <c r="I133" s="96">
        <f>I134+I139+I142</f>
        <v>31013.107410000001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931.98955999999998</v>
      </c>
      <c r="G134" s="127">
        <f>G135+G136+G138+G137</f>
        <v>28733.089660000001</v>
      </c>
      <c r="H134" s="127">
        <f>H135+H136+H137+H138</f>
        <v>30770.910340000002</v>
      </c>
      <c r="I134" s="127">
        <f>I135+I136+I137+I138</f>
        <v>24679.605620000002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129.99614</f>
        <v>129.99614</v>
      </c>
      <c r="G135" s="129">
        <v>4373.8006500000001</v>
      </c>
      <c r="H135" s="129">
        <f>E135-G135</f>
        <v>13130.199349999999</v>
      </c>
      <c r="I135" s="129">
        <f>3354.03685</f>
        <v>3354.03685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243.89361</f>
        <v>243.89361</v>
      </c>
      <c r="G136" s="129">
        <v>8760.2588599999999</v>
      </c>
      <c r="H136" s="129">
        <f>E136-G136</f>
        <v>6323.7411400000001</v>
      </c>
      <c r="I136" s="129">
        <f>6593.01578</f>
        <v>6593.0157799999997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282.85296</f>
        <v>282.85296</v>
      </c>
      <c r="G137" s="129">
        <v>7368.1259800000007</v>
      </c>
      <c r="H137" s="129">
        <f>E137-G137</f>
        <v>7654.8740199999993</v>
      </c>
      <c r="I137" s="129">
        <f>7673.48419</f>
        <v>7673.4841900000001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275.24685</f>
        <v>275.24684999999999</v>
      </c>
      <c r="G138" s="129">
        <v>8230.9041699999998</v>
      </c>
      <c r="H138" s="129">
        <f>E138-G138</f>
        <v>3662.0958300000002</v>
      </c>
      <c r="I138" s="129">
        <f>7059.0688</f>
        <v>7059.0688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18.461400000000001</v>
      </c>
      <c r="G139" s="134">
        <f>SUM(G140:G141)</f>
        <v>5245.5863300000001</v>
      </c>
      <c r="H139" s="134">
        <f>H140+H141</f>
        <v>4186.4136699999999</v>
      </c>
      <c r="I139" s="134">
        <f>SUM(I140:I141)</f>
        <v>4674.2857100000001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15.0792</f>
        <v>15.0792</v>
      </c>
      <c r="G140" s="129">
        <f>5140.56754</f>
        <v>5140.56754</v>
      </c>
      <c r="H140" s="129">
        <f t="shared" ref="H140:H147" si="12">E140-G140</f>
        <v>3791.43246</v>
      </c>
      <c r="I140" s="129">
        <f>4590.95246</f>
        <v>4590.9524600000004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3.3822</f>
        <v>3.3822000000000001</v>
      </c>
      <c r="G141" s="129">
        <f>105.01879</f>
        <v>105.01879</v>
      </c>
      <c r="H141" s="129">
        <f t="shared" si="12"/>
        <v>394.98121000000003</v>
      </c>
      <c r="I141" s="129">
        <f>83.33325</f>
        <v>83.333250000000007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102.75402</f>
        <v>102.75402</v>
      </c>
      <c r="G142" s="77">
        <f>1898.6257</f>
        <v>1898.6257000000001</v>
      </c>
      <c r="H142" s="77">
        <f t="shared" si="12"/>
        <v>10105.374299999999</v>
      </c>
      <c r="I142" s="77">
        <f>1659.21608</f>
        <v>1659.2160799999999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0.10665</f>
        <v>0.10664999999999999</v>
      </c>
      <c r="G143" s="141">
        <f>18.01906</f>
        <v>18.01906</v>
      </c>
      <c r="H143" s="141">
        <f t="shared" si="12"/>
        <v>118.98094</v>
      </c>
      <c r="I143" s="141">
        <f>20.73082</f>
        <v>20.730820000000001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8.10151</f>
        <v>8.1015099999999993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1135.29459</v>
      </c>
      <c r="G150" s="78">
        <f>G128+G132+G133+G143+G144+G145+G146+G147+G148</f>
        <v>65186.99727</v>
      </c>
      <c r="H150" s="78">
        <f>H128+H132+H133+H143+H144+H145+H146+H147+H148</f>
        <v>138048.00273000001</v>
      </c>
      <c r="I150" s="78">
        <f>I128+I132+I133+I143+I144+I145+I146+I147+I148</f>
        <v>55504.282529999997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20.45928</f>
        <v>20.45928</v>
      </c>
      <c r="F175" s="274">
        <f>491.82211</f>
        <v>491.82211000000001</v>
      </c>
      <c r="G175" s="45">
        <f>D175-F175-F176</f>
        <v>4312.6394600000003</v>
      </c>
      <c r="H175" s="274">
        <f>326.12137</f>
        <v>326.12137000000001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183.53843</f>
        <v>183.53843000000001</v>
      </c>
      <c r="G176" s="215"/>
      <c r="H176" s="154">
        <f>394.91433</f>
        <v>394.91433000000001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22.40974</f>
        <v>22.409739999999999</v>
      </c>
      <c r="G177" s="174">
        <f>D177-F177</f>
        <v>177.59026</v>
      </c>
      <c r="H177" s="174">
        <f>26.38042</f>
        <v>26.380420000000001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2.5935199999999998</v>
      </c>
      <c r="F178" s="183">
        <f>F179+F180+F181</f>
        <v>19.457000000000001</v>
      </c>
      <c r="G178" s="183">
        <f>D178-F178</f>
        <v>7461.5429999999997</v>
      </c>
      <c r="H178" s="183">
        <f>H179+H180+H181</f>
        <v>21.640639999999998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0.84752</f>
        <v>0.84752000000000005</v>
      </c>
      <c r="F179" s="129">
        <f>5.69694</f>
        <v>5.6969399999999997</v>
      </c>
      <c r="G179" s="129"/>
      <c r="H179" s="129">
        <f>1.65304</f>
        <v>1.6530400000000001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1.746</f>
        <v>1.746</v>
      </c>
      <c r="F180" s="129">
        <f>12.6985</f>
        <v>12.698499999999999</v>
      </c>
      <c r="G180" s="129"/>
      <c r="H180" s="129">
        <f>15.72847</f>
        <v>15.72847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1.06156</f>
        <v>1.0615600000000001</v>
      </c>
      <c r="G181" s="194"/>
      <c r="H181" s="194">
        <f>4.25913</f>
        <v>4.2591299999999999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23.052799999999998</v>
      </c>
      <c r="F184" s="196">
        <f>F175+F176+F177+F178+F182+F183</f>
        <v>717.22727999999995</v>
      </c>
      <c r="G184" s="196">
        <f>D184-F184</f>
        <v>12017.772720000001</v>
      </c>
      <c r="H184" s="196">
        <f>H175+H176+H177+H178+H182+H183</f>
        <v>769.05675999999994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221.62738</f>
        <v>221.62737999999999</v>
      </c>
      <c r="F204" s="124">
        <f>7419.27133</f>
        <v>7419.2713299999996</v>
      </c>
      <c r="G204" s="124">
        <f>D204-F204</f>
        <v>36419.728669999997</v>
      </c>
      <c r="H204" s="124">
        <f>4235.78855</f>
        <v>4235.7885500000002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0.0125</f>
        <v>1.2500000000000001E-2</v>
      </c>
      <c r="F205" s="124">
        <f>0.8173</f>
        <v>0.81730000000000003</v>
      </c>
      <c r="G205" s="124">
        <f>D205-F205</f>
        <v>99.182699999999997</v>
      </c>
      <c r="H205" s="124">
        <f>18.91676</f>
        <v>18.91676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221.63987999999998</v>
      </c>
      <c r="F207" s="190">
        <f>SUM(F204:F206)</f>
        <v>7420.0886299999993</v>
      </c>
      <c r="G207" s="190">
        <f>D207-F207</f>
        <v>36560.911370000002</v>
      </c>
      <c r="H207" s="190">
        <f>SUM(H204:H206)</f>
        <v>4254.7053100000003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10.70474</f>
        <v>10.704739999999999</v>
      </c>
      <c r="F258" s="124">
        <f>101.58055</f>
        <v>101.58055</v>
      </c>
      <c r="G258" s="124">
        <f>D258-F258</f>
        <v>698.41944999999998</v>
      </c>
      <c r="H258" s="124">
        <f>51.69477</f>
        <v>51.694769999999998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7.8731</f>
        <v>7.8731</v>
      </c>
      <c r="F259" s="124">
        <f>419.67981</f>
        <v>419.67980999999997</v>
      </c>
      <c r="G259" s="124">
        <f>D259-F259</f>
        <v>2074.3201899999999</v>
      </c>
      <c r="H259" s="124">
        <f>205.4504</f>
        <v>205.4504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0.09004</f>
        <v>9.0039999999999995E-2</v>
      </c>
      <c r="G260" s="124">
        <f>D260-F260</f>
        <v>4.9099599999999999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0.19022</f>
        <v>0.19022</v>
      </c>
      <c r="G261" s="124"/>
      <c r="H261" s="168">
        <f>0.22156</f>
        <v>0.22156000000000001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18.577839999999998</v>
      </c>
      <c r="F262" s="190">
        <f>SUM(F258:F261)</f>
        <v>521.54061999999999</v>
      </c>
      <c r="G262" s="190">
        <f>D262-F262</f>
        <v>2777.4593800000002</v>
      </c>
      <c r="H262" s="190">
        <f>H258+H259+H260+H261</f>
        <v>257.72373000000005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80.421199999999999</v>
      </c>
      <c r="G288" s="251">
        <f t="shared" si="14"/>
        <v>2917.1704799999998</v>
      </c>
      <c r="H288" s="251">
        <f>H292+H291+H290+H289</f>
        <v>13184.829519999999</v>
      </c>
      <c r="I288" s="251">
        <f t="shared" si="14"/>
        <v>804.46551999999986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1618.56418</f>
        <v>1618.5641800000001</v>
      </c>
      <c r="H289" s="255">
        <f t="shared" ref="H289:H293" si="15">E289-G289</f>
        <v>6558.4358199999997</v>
      </c>
      <c r="I289" s="255">
        <f>146.0295</f>
        <v>146.02950000000001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531.225</f>
        <v>531.22500000000002</v>
      </c>
      <c r="H290" s="255">
        <f t="shared" si="15"/>
        <v>1596.7750000000001</v>
      </c>
      <c r="I290" s="255">
        <f>344.5497</f>
        <v>344.54969999999997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66.396</f>
        <v>66.396000000000001</v>
      </c>
      <c r="G291" s="255">
        <f>507.79525</f>
        <v>507.79525000000001</v>
      </c>
      <c r="H291" s="255">
        <f t="shared" si="15"/>
        <v>849.20474999999999</v>
      </c>
      <c r="I291" s="255">
        <f>303.20552</f>
        <v>303.20551999999998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14.0252</f>
        <v>14.0252</v>
      </c>
      <c r="G292" s="255">
        <f>259.58605</f>
        <v>259.58605</v>
      </c>
      <c r="H292" s="255">
        <f t="shared" si="15"/>
        <v>4180.4139500000001</v>
      </c>
      <c r="I292" s="255">
        <f>10.6808</f>
        <v>10.6808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</f>
        <v>0</v>
      </c>
      <c r="G293" s="266">
        <f>19.42</f>
        <v>19.420000000000002</v>
      </c>
      <c r="H293" s="266">
        <f t="shared" si="15"/>
        <v>5480.58</v>
      </c>
      <c r="I293" s="266">
        <f>191.05656</f>
        <v>191.05655999999999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8.5134000000000007</v>
      </c>
      <c r="G294" s="267">
        <f>G296+G295</f>
        <v>1523.4939899999999</v>
      </c>
      <c r="H294" s="267">
        <f>E294-G294</f>
        <v>6476.5060100000001</v>
      </c>
      <c r="I294" s="267">
        <f>I296+I295</f>
        <v>1468.4060899999999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742.5736</f>
        <v>742.57360000000006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8.5134</f>
        <v>8.5134000000000007</v>
      </c>
      <c r="G296" s="276">
        <f>780.92039</f>
        <v>780.92039</v>
      </c>
      <c r="H296" s="276"/>
      <c r="I296" s="276">
        <f>578.90778</f>
        <v>578.90778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0.0567</f>
        <v>5.67E-2</v>
      </c>
      <c r="H297" s="266">
        <f>E297-G297</f>
        <v>9.9433000000000007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8.5692</f>
        <v>8.5692000000000004</v>
      </c>
      <c r="G298" s="266">
        <f>11.96752</f>
        <v>11.96752</v>
      </c>
      <c r="H298" s="266">
        <f>E298-G298</f>
        <v>-11.96752</v>
      </c>
      <c r="I298" s="266">
        <f>12.86285</f>
        <v>12.86285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97.503799999999998</v>
      </c>
      <c r="G299" s="285">
        <f t="shared" si="16"/>
        <v>4472.10869</v>
      </c>
      <c r="H299" s="285">
        <f>H288+H293+H294+H297+H298</f>
        <v>25139.891310000003</v>
      </c>
      <c r="I299" s="285">
        <f t="shared" si="16"/>
        <v>2476.9287199999999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47.488500000000002</v>
      </c>
      <c r="F321" s="26">
        <f>F323+F322</f>
        <v>1870.8191299999999</v>
      </c>
      <c r="G321" s="87">
        <f>D321-F321</f>
        <v>370.18087000000014</v>
      </c>
      <c r="H321" s="26">
        <f>SUM(H322:H323)</f>
        <v>1142.33673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27.9525</f>
        <v>27.952500000000001</v>
      </c>
      <c r="F322" s="207">
        <f>1476.50083</f>
        <v>1476.50083</v>
      </c>
      <c r="G322" s="208"/>
      <c r="H322" s="207">
        <f>901.89765</f>
        <v>901.89765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19.536</f>
        <v>19.536000000000001</v>
      </c>
      <c r="F323" s="210">
        <f>394.3183</f>
        <v>394.31830000000002</v>
      </c>
      <c r="G323" s="211"/>
      <c r="H323" s="210">
        <f>240.43908</f>
        <v>240.43907999999999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47.488500000000002</v>
      </c>
      <c r="F331" s="42">
        <f>F321+F324+F327+F330</f>
        <v>1870.8191299999999</v>
      </c>
      <c r="G331" s="43">
        <f>SUM(G321:G330)</f>
        <v>1490.1808700000001</v>
      </c>
      <c r="H331" s="42">
        <f>H321+H324+H327+H330</f>
        <v>1142.33673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14&amp;R11.04.2023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2023-04-11T07:18:42Z</dcterms:modified>
</cp:coreProperties>
</file>