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E8E32398-DA2B-4E42-A4CA-9E9CA5096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2" i="1"/>
  <c r="G422" i="1"/>
  <c r="F422" i="1"/>
  <c r="E422" i="1"/>
  <c r="H421" i="1"/>
  <c r="F421" i="1"/>
  <c r="F419" i="1" s="1"/>
  <c r="G419" i="1" s="1"/>
  <c r="E421" i="1"/>
  <c r="H420" i="1"/>
  <c r="H419" i="1" s="1"/>
  <c r="F420" i="1"/>
  <c r="E420" i="1"/>
  <c r="E419" i="1" s="1"/>
  <c r="H418" i="1"/>
  <c r="H416" i="1" s="1"/>
  <c r="F418" i="1"/>
  <c r="E418" i="1"/>
  <c r="E416" i="1" s="1"/>
  <c r="H417" i="1"/>
  <c r="F417" i="1"/>
  <c r="F416" i="1" s="1"/>
  <c r="G416" i="1" s="1"/>
  <c r="E417" i="1"/>
  <c r="H415" i="1"/>
  <c r="H413" i="1" s="1"/>
  <c r="H423" i="1" s="1"/>
  <c r="F415" i="1"/>
  <c r="E415" i="1"/>
  <c r="H414" i="1"/>
  <c r="F414" i="1"/>
  <c r="F413" i="1" s="1"/>
  <c r="E414" i="1"/>
  <c r="I390" i="1"/>
  <c r="G390" i="1"/>
  <c r="H390" i="1" s="1"/>
  <c r="F390" i="1"/>
  <c r="I389" i="1"/>
  <c r="G389" i="1"/>
  <c r="H389" i="1" s="1"/>
  <c r="F389" i="1"/>
  <c r="I388" i="1"/>
  <c r="I386" i="1" s="1"/>
  <c r="G388" i="1"/>
  <c r="F388" i="1"/>
  <c r="F386" i="1" s="1"/>
  <c r="I387" i="1"/>
  <c r="G387" i="1"/>
  <c r="F387" i="1"/>
  <c r="I385" i="1"/>
  <c r="G385" i="1"/>
  <c r="H385" i="1" s="1"/>
  <c r="F385" i="1"/>
  <c r="I384" i="1"/>
  <c r="G384" i="1"/>
  <c r="H384" i="1" s="1"/>
  <c r="F384" i="1"/>
  <c r="I383" i="1"/>
  <c r="H383" i="1"/>
  <c r="G383" i="1"/>
  <c r="F383" i="1"/>
  <c r="I382" i="1"/>
  <c r="G382" i="1"/>
  <c r="H382" i="1" s="1"/>
  <c r="F382" i="1"/>
  <c r="I381" i="1"/>
  <c r="H381" i="1"/>
  <c r="G381" i="1"/>
  <c r="F381" i="1"/>
  <c r="F380" i="1"/>
  <c r="D380" i="1"/>
  <c r="D391" i="1" s="1"/>
  <c r="H372" i="1"/>
  <c r="F372" i="1"/>
  <c r="D354" i="1"/>
  <c r="H353" i="1"/>
  <c r="F353" i="1"/>
  <c r="G353" i="1" s="1"/>
  <c r="E353" i="1"/>
  <c r="H352" i="1"/>
  <c r="G352" i="1"/>
  <c r="F352" i="1"/>
  <c r="E352" i="1"/>
  <c r="H351" i="1"/>
  <c r="F351" i="1"/>
  <c r="G351" i="1" s="1"/>
  <c r="E351" i="1"/>
  <c r="H350" i="1"/>
  <c r="G350" i="1"/>
  <c r="F350" i="1"/>
  <c r="F354" i="1" s="1"/>
  <c r="E350" i="1"/>
  <c r="E354" i="1" s="1"/>
  <c r="D343" i="1"/>
  <c r="D299" i="1"/>
  <c r="H298" i="1"/>
  <c r="F298" i="1"/>
  <c r="G298" i="1" s="1"/>
  <c r="E298" i="1"/>
  <c r="H297" i="1"/>
  <c r="F297" i="1"/>
  <c r="E297" i="1"/>
  <c r="H296" i="1"/>
  <c r="H295" i="1" s="1"/>
  <c r="H299" i="1" s="1"/>
  <c r="F296" i="1"/>
  <c r="F295" i="1" s="1"/>
  <c r="E296" i="1"/>
  <c r="E295" i="1" s="1"/>
  <c r="E299" i="1" s="1"/>
  <c r="D253" i="1"/>
  <c r="H252" i="1"/>
  <c r="F252" i="1"/>
  <c r="G252" i="1" s="1"/>
  <c r="E252" i="1"/>
  <c r="H251" i="1"/>
  <c r="H249" i="1" s="1"/>
  <c r="H253" i="1" s="1"/>
  <c r="F251" i="1"/>
  <c r="E251" i="1"/>
  <c r="E249" i="1" s="1"/>
  <c r="E253" i="1" s="1"/>
  <c r="H250" i="1"/>
  <c r="F250" i="1"/>
  <c r="F249" i="1" s="1"/>
  <c r="E250" i="1"/>
  <c r="D207" i="1"/>
  <c r="H206" i="1"/>
  <c r="G206" i="1"/>
  <c r="F206" i="1"/>
  <c r="E206" i="1"/>
  <c r="H205" i="1"/>
  <c r="F205" i="1"/>
  <c r="G205" i="1" s="1"/>
  <c r="E205" i="1"/>
  <c r="H204" i="1"/>
  <c r="H207" i="1" s="1"/>
  <c r="F204" i="1"/>
  <c r="G204" i="1" s="1"/>
  <c r="E204" i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F179" i="1"/>
  <c r="E179" i="1"/>
  <c r="H177" i="1"/>
  <c r="F177" i="1"/>
  <c r="G177" i="1" s="1"/>
  <c r="E177" i="1"/>
  <c r="H176" i="1"/>
  <c r="F176" i="1"/>
  <c r="E176" i="1"/>
  <c r="H175" i="1"/>
  <c r="F175" i="1"/>
  <c r="E175" i="1"/>
  <c r="D167" i="1"/>
  <c r="D169" i="1" s="1"/>
  <c r="I148" i="1"/>
  <c r="H148" i="1"/>
  <c r="G148" i="1"/>
  <c r="F148" i="1"/>
  <c r="I147" i="1"/>
  <c r="G147" i="1"/>
  <c r="H147" i="1" s="1"/>
  <c r="F147" i="1"/>
  <c r="H146" i="1"/>
  <c r="I145" i="1"/>
  <c r="G145" i="1"/>
  <c r="H145" i="1" s="1"/>
  <c r="F145" i="1"/>
  <c r="I144" i="1"/>
  <c r="G144" i="1"/>
  <c r="H144" i="1" s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I139" i="1" s="1"/>
  <c r="G140" i="1"/>
  <c r="H140" i="1" s="1"/>
  <c r="F140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F135" i="1"/>
  <c r="E134" i="1"/>
  <c r="D134" i="1"/>
  <c r="D133" i="1" s="1"/>
  <c r="I132" i="1"/>
  <c r="H132" i="1"/>
  <c r="F132" i="1"/>
  <c r="I131" i="1"/>
  <c r="G131" i="1"/>
  <c r="H131" i="1" s="1"/>
  <c r="F131" i="1"/>
  <c r="I130" i="1"/>
  <c r="G130" i="1"/>
  <c r="G128" i="1" s="1"/>
  <c r="F130" i="1"/>
  <c r="I129" i="1"/>
  <c r="G129" i="1"/>
  <c r="H129" i="1" s="1"/>
  <c r="F129" i="1"/>
  <c r="I128" i="1"/>
  <c r="E128" i="1"/>
  <c r="D128" i="1"/>
  <c r="D150" i="1" s="1"/>
  <c r="C126" i="1"/>
  <c r="I106" i="1"/>
  <c r="G106" i="1"/>
  <c r="H106" i="1" s="1"/>
  <c r="F106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H100" i="1"/>
  <c r="G100" i="1"/>
  <c r="F100" i="1"/>
  <c r="F96" i="1" s="1"/>
  <c r="F95" i="1" s="1"/>
  <c r="I99" i="1"/>
  <c r="G99" i="1"/>
  <c r="H99" i="1" s="1"/>
  <c r="F99" i="1"/>
  <c r="I98" i="1"/>
  <c r="G98" i="1"/>
  <c r="H98" i="1" s="1"/>
  <c r="F98" i="1"/>
  <c r="I97" i="1"/>
  <c r="G97" i="1"/>
  <c r="F97" i="1"/>
  <c r="E96" i="1"/>
  <c r="E95" i="1" s="1"/>
  <c r="E107" i="1" s="1"/>
  <c r="D96" i="1"/>
  <c r="D95" i="1" s="1"/>
  <c r="I94" i="1"/>
  <c r="I92" i="1" s="1"/>
  <c r="G94" i="1"/>
  <c r="H94" i="1" s="1"/>
  <c r="F94" i="1"/>
  <c r="I93" i="1"/>
  <c r="G93" i="1"/>
  <c r="H93" i="1" s="1"/>
  <c r="F93" i="1"/>
  <c r="F92" i="1" s="1"/>
  <c r="E92" i="1"/>
  <c r="D92" i="1"/>
  <c r="D107" i="1" s="1"/>
  <c r="C89" i="1"/>
  <c r="H85" i="1"/>
  <c r="F85" i="1"/>
  <c r="D85" i="1"/>
  <c r="G61" i="1"/>
  <c r="G60" i="1"/>
  <c r="H55" i="1"/>
  <c r="I32" i="1" s="1"/>
  <c r="F55" i="1"/>
  <c r="G55" i="1" s="1"/>
  <c r="E55" i="1"/>
  <c r="I43" i="1"/>
  <c r="G43" i="1"/>
  <c r="H43" i="1" s="1"/>
  <c r="F43" i="1"/>
  <c r="H4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I34" i="1" s="1"/>
  <c r="G35" i="1"/>
  <c r="F35" i="1"/>
  <c r="E35" i="1"/>
  <c r="D34" i="1"/>
  <c r="I33" i="1"/>
  <c r="H33" i="1"/>
  <c r="G33" i="1"/>
  <c r="F33" i="1"/>
  <c r="F32" i="1"/>
  <c r="I31" i="1"/>
  <c r="H31" i="1"/>
  <c r="G31" i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F27" i="1" s="1"/>
  <c r="E27" i="1"/>
  <c r="E26" i="1" s="1"/>
  <c r="D27" i="1"/>
  <c r="I25" i="1"/>
  <c r="G25" i="1"/>
  <c r="H25" i="1" s="1"/>
  <c r="H23" i="1" s="1"/>
  <c r="F25" i="1"/>
  <c r="I24" i="1"/>
  <c r="H24" i="1"/>
  <c r="G24" i="1"/>
  <c r="F24" i="1"/>
  <c r="I23" i="1"/>
  <c r="E23" i="1"/>
  <c r="D23" i="1"/>
  <c r="H16" i="1"/>
  <c r="F16" i="1"/>
  <c r="D16" i="1"/>
  <c r="H380" i="1" l="1"/>
  <c r="H178" i="1"/>
  <c r="G27" i="1"/>
  <c r="F107" i="1"/>
  <c r="E178" i="1"/>
  <c r="E184" i="1" s="1"/>
  <c r="G380" i="1"/>
  <c r="G354" i="1"/>
  <c r="G386" i="1"/>
  <c r="H386" i="1" s="1"/>
  <c r="E133" i="1"/>
  <c r="E150" i="1" s="1"/>
  <c r="G32" i="1"/>
  <c r="H32" i="1" s="1"/>
  <c r="H27" i="1" s="1"/>
  <c r="G134" i="1"/>
  <c r="G133" i="1" s="1"/>
  <c r="G150" i="1" s="1"/>
  <c r="G139" i="1"/>
  <c r="F134" i="1"/>
  <c r="F133" i="1" s="1"/>
  <c r="I27" i="1"/>
  <c r="H35" i="1"/>
  <c r="G96" i="1"/>
  <c r="G95" i="1" s="1"/>
  <c r="I134" i="1"/>
  <c r="I133" i="1" s="1"/>
  <c r="I150" i="1" s="1"/>
  <c r="F184" i="1"/>
  <c r="G184" i="1" s="1"/>
  <c r="E413" i="1"/>
  <c r="E423" i="1" s="1"/>
  <c r="D26" i="1"/>
  <c r="D44" i="1" s="1"/>
  <c r="H92" i="1"/>
  <c r="F23" i="1"/>
  <c r="I26" i="1"/>
  <c r="I96" i="1"/>
  <c r="I95" i="1" s="1"/>
  <c r="I107" i="1" s="1"/>
  <c r="H184" i="1"/>
  <c r="H354" i="1"/>
  <c r="I380" i="1"/>
  <c r="I391" i="1" s="1"/>
  <c r="G23" i="1"/>
  <c r="F128" i="1"/>
  <c r="F150" i="1" s="1"/>
  <c r="E207" i="1"/>
  <c r="F34" i="1"/>
  <c r="F26" i="1" s="1"/>
  <c r="F44" i="1" s="1"/>
  <c r="G34" i="1"/>
  <c r="F391" i="1"/>
  <c r="G295" i="1"/>
  <c r="F299" i="1"/>
  <c r="G299" i="1" s="1"/>
  <c r="E44" i="1"/>
  <c r="G207" i="1"/>
  <c r="H391" i="1"/>
  <c r="I44" i="1"/>
  <c r="F423" i="1"/>
  <c r="G249" i="1"/>
  <c r="F253" i="1"/>
  <c r="G253" i="1" s="1"/>
  <c r="H139" i="1"/>
  <c r="H97" i="1"/>
  <c r="H96" i="1" s="1"/>
  <c r="H95" i="1" s="1"/>
  <c r="H107" i="1" s="1"/>
  <c r="H130" i="1"/>
  <c r="H128" i="1" s="1"/>
  <c r="G92" i="1"/>
  <c r="G107" i="1" s="1"/>
  <c r="H135" i="1"/>
  <c r="H134" i="1" s="1"/>
  <c r="F207" i="1"/>
  <c r="G413" i="1"/>
  <c r="G175" i="1"/>
  <c r="G26" i="1" l="1"/>
  <c r="G44" i="1" s="1"/>
  <c r="G391" i="1"/>
  <c r="H34" i="1"/>
  <c r="H26" i="1" s="1"/>
  <c r="H44" i="1" s="1"/>
  <c r="H133" i="1"/>
  <c r="H150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<sst xmlns="http://schemas.openxmlformats.org/spreadsheetml/2006/main" count="359" uniqueCount="152">
  <si>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</si>
  <si>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</si>
  <si>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</si>
  <si>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</si>
  <si>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</si>
  <si>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</si>
  <si>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</si>
  <si>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</si>
  <si>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</si>
  <si>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</si>
  <si>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</si>
  <si>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</si>
  <si>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</si>
  <si>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</si>
  <si>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</si>
  <si>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</si>
  <si>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</si>
  <si>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</si>
  <si>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</si>
  <si>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</si>
  <si>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</si>
  <si>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</si>
  <si>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</si>
  <si>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</si>
  <si>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</si>
  <si>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</si>
  <si>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</si>
  <si>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</si>
  <si>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</si>
  <si>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</si>
  <si>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</si>
  <si>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</si>
  <si>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</si>
  <si>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</si>
  <si>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</si>
  <si>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</si>
  <si>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</si>
  <si>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</si>
  <si>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</si>
  <si>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</si>
  <si>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</si>
  <si>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</si>
  <si>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</si>
  <si>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</si>
  <si>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</si>
  <si>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</si>
  <si>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</si>
  <si>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</si>
  <si>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</si>
  <si>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</si>
  <si>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</si>
  <si>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</si>
  <si>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</si>
  <si>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</si>
  <si>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</si>
  <si>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</si>
  <si>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</si>
  <si>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</si>
  <si>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</si>
  <si>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</si>
  <si>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</si>
  <si>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</si>
  <si>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</si>
  <si>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</si>
  <si>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</si>
  <si>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</si>
  <si>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</si>
  <si>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</si>
  <si>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</si>
  <si>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</si>
  <si>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</si>
  <si>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</si>
  <si>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</si>
  <si>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</si>
  <si>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</si>
  <si>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</si>
  <si>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</si>
  <si>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</si>
  <si>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</si>
  <si>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</si>
  <si>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</si>
  <si>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</si>
  <si>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</si>
  <si>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</si>
  <si>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</si>
  <si>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</si>
  <si>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</si>
  <si>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</si>
  <si>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</si>
  <si>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</si>
  <si>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</si>
  <si>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</si>
  <si>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</si>
  <si>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</si>
  <si>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</si>
  <si>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</si>
  <si>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</si>
  <si>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</si>
  <si>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</si>
  <si>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</si>
  <si>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</si>
  <si>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</si>
  <si>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</si>
  <si>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</si>
  <si>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</si>
  <si>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</si>
  <si>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</si>
  <si>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</si>
  <si>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</si>
  <si>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</si>
  <si>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</si>
  <si>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</si>
  <si>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</si>
  <si>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</si>
  <si>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</si>
  <si>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</si>
  <si>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</si>
  <si>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</si>
  <si>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</si>
  <si>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</si>
  <si>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</si>
  <si>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</si>
  <si>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</si>
  <si>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</si>
  <si>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</si>
  <si>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</si>
  <si>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</si>
  <si>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</si>
  <si>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</si>
  <si>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</si>
  <si>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</si>
  <si>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</si>
  <si>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</si>
  <si>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</si>
  <si>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</si>
  <si>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</si>
  <si>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</si>
  <si>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</si>
  <si>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</si>
  <si>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</si>
  <si>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</si>
  <si>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</si>
  <si>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</si>
  <si>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</si>
  <si>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t>2 Registrert rekreasjonsfiske utgjør 44 tonn, men det legges til grunn at hele avsetningen tas</t>
  </si>
  <si>
    <t>4 Registrert rekreasjonsfiske utgjør 157 tonn, men det legges til grunn at hele avsetningen tas</t>
  </si>
  <si>
    <t>3 Registrert rekreasjonsfiske utgjør 543 tonn, men det legges til grunn at hele avsetningen tas</t>
  </si>
  <si>
    <t>FANGST UKE 17</t>
  </si>
  <si>
    <t>FANGST T.O.M UKE 17</t>
  </si>
  <si>
    <t>RESTKVOTER UKE 17</t>
  </si>
  <si>
    <t>FANGST T.O.M UKE 17 2023</t>
  </si>
  <si>
    <r>
      <t>3</t>
    </r>
    <r>
      <rPr>
        <sz val="9"/>
        <color indexed="8"/>
        <rFont val="Calibri"/>
        <family val="2"/>
      </rPr>
      <t xml:space="preserve"> Det er fisket 1 571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</si>
</sst>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J17" sqref="J17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123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142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1047.105</v>
      </c>
      <c r="G23" s="28">
        <f t="shared" si="0"/>
        <v>34099.179819999998</v>
      </c>
      <c r="H23" s="11">
        <f t="shared" si="0"/>
        <v>26712.820180000002</v>
      </c>
      <c r="I23" s="11">
        <f t="shared" si="0"/>
        <v>37671.625330000003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1045.281</f>
        <v>1045.2809999999999</v>
      </c>
      <c r="G24" s="23">
        <f>33697.45153</f>
        <v>33697.451529999998</v>
      </c>
      <c r="H24" s="23">
        <f>E24-G24</f>
        <v>26344.548470000002</v>
      </c>
      <c r="I24" s="23">
        <f>37480.93684</f>
        <v>37480.936840000002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1.824</f>
        <v>1.8240000000000001</v>
      </c>
      <c r="G25" s="23">
        <f>401.72829</f>
        <v>401.72829000000002</v>
      </c>
      <c r="H25" s="23">
        <f>E25-G25</f>
        <v>368.27170999999998</v>
      </c>
      <c r="I25" s="23">
        <f>190.68849</f>
        <v>190.68849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2089.1480999999999</v>
      </c>
      <c r="G26" s="11">
        <f t="shared" si="1"/>
        <v>107427.59413</v>
      </c>
      <c r="H26" s="11">
        <f t="shared" si="1"/>
        <v>37446.405870000002</v>
      </c>
      <c r="I26" s="11">
        <f t="shared" si="1"/>
        <v>148586.39632999999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1461.59888</v>
      </c>
      <c r="G27" s="132">
        <f t="shared" ref="G27:I27" si="2">G28+G29+G30+G31+G32</f>
        <v>89988.987580000001</v>
      </c>
      <c r="H27" s="132">
        <f t="shared" si="2"/>
        <v>22989.012419999999</v>
      </c>
      <c r="I27" s="132">
        <f t="shared" si="2"/>
        <v>120147.21526999999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430.242</f>
        <v>430.24200000000002</v>
      </c>
      <c r="G28" s="127">
        <f>24349.74406 - F56</f>
        <v>24349.744060000001</v>
      </c>
      <c r="H28" s="127">
        <f t="shared" ref="H28:H40" si="3">E28-G28</f>
        <v>4280.2559399999991</v>
      </c>
      <c r="I28" s="127">
        <f>33526.22791 - H56</f>
        <v>33526.227910000001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176.98122</f>
        <v>176.98122000000001</v>
      </c>
      <c r="G29" s="127">
        <f>25673.45405 - F57</f>
        <v>25673.45405</v>
      </c>
      <c r="H29" s="127">
        <f t="shared" si="3"/>
        <v>3991.5459499999997</v>
      </c>
      <c r="I29" s="127">
        <f>34290.31413 - H57</f>
        <v>34290.314129999999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539.35268</f>
        <v>539.35267999999996</v>
      </c>
      <c r="G30" s="127">
        <f>22838.97216 - F58</f>
        <v>22838.972160000001</v>
      </c>
      <c r="H30" s="127">
        <f t="shared" si="3"/>
        <v>4405.0278399999988</v>
      </c>
      <c r="I30" s="127">
        <f>31009.13749 - H58</f>
        <v>31009.137490000001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315.02298</f>
        <v>315.02298000000002</v>
      </c>
      <c r="G31" s="127">
        <f>17126.81731 - F59</f>
        <v>17126.817309999999</v>
      </c>
      <c r="H31" s="127">
        <f t="shared" si="3"/>
        <v>2212.1826900000015</v>
      </c>
      <c r="I31" s="127">
        <f>21321.53574 - H59</f>
        <v>21321.535739999999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130.5453</f>
        <v>130.5453</v>
      </c>
      <c r="G33" s="132">
        <f>7251.8993</f>
        <v>7251.8993</v>
      </c>
      <c r="H33" s="132">
        <f t="shared" si="3"/>
        <v>9607.1006999999991</v>
      </c>
      <c r="I33" s="132">
        <f>11254.16778</f>
        <v>11254.16778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497.00391999999999</v>
      </c>
      <c r="G34" s="132">
        <f>G35+G36</f>
        <v>10186.707249999999</v>
      </c>
      <c r="H34" s="132">
        <f t="shared" si="3"/>
        <v>4850.2927500000005</v>
      </c>
      <c r="I34" s="132">
        <f>I35+I36</f>
        <v>17185.013279999999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497.00392</f>
        <v>497.00391999999999</v>
      </c>
      <c r="G35" s="132">
        <f>12314.70725 - F60 - F61</f>
        <v>10186.707249999999</v>
      </c>
      <c r="H35" s="127">
        <f t="shared" si="3"/>
        <v>3890.2927500000005</v>
      </c>
      <c r="I35" s="127">
        <f>19897.01328 - H60 - H61</f>
        <v>17185.013279999999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167.9916</f>
        <v>167.99160000000001</v>
      </c>
      <c r="H37" s="139">
        <f t="shared" si="3"/>
        <v>1832.0083999999999</v>
      </c>
      <c r="I37" s="139">
        <f>432.9872</f>
        <v>432.98719999999997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3.21403</f>
        <v>3.2140300000000002</v>
      </c>
      <c r="G38" s="98">
        <f>438.36571</f>
        <v>438.36570999999998</v>
      </c>
      <c r="H38" s="98">
        <f t="shared" si="3"/>
        <v>416.63429000000002</v>
      </c>
      <c r="I38" s="98">
        <f>451.28103</f>
        <v>451.28102999999999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179</v>
      </c>
      <c r="G39" s="98">
        <f>F61</f>
        <v>2128</v>
      </c>
      <c r="H39" s="98">
        <f t="shared" si="3"/>
        <v>872</v>
      </c>
      <c r="I39" s="98">
        <f>H61</f>
        <v>2712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22.02579</f>
        <v>22.025790000000001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4.02645</f>
        <v>4.0264499999999996</v>
      </c>
      <c r="G41" s="98">
        <f>304.92006</f>
        <v>304.92005999999998</v>
      </c>
      <c r="H41" s="98">
        <f>E41-G41</f>
        <v>95.079940000000022</v>
      </c>
      <c r="I41" s="98">
        <f>302.88755</f>
        <v>302.88754999999998</v>
      </c>
      <c r="J41" s="243"/>
    </row>
    <row r="42" spans="1:13" ht="17.25" customHeight="1" x14ac:dyDescent="0.25">
      <c r="A42" s="1"/>
      <c r="B42" s="253"/>
      <c r="C42" s="73" t="s">
        <v>130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97.92076</f>
        <v>97.920760000000001</v>
      </c>
      <c r="H43" s="139">
        <f t="shared" ref="H43" si="4">E43-G43</f>
        <v>-97.920760000000001</v>
      </c>
      <c r="I43" s="139">
        <f>57.60549</f>
        <v>57.605490000000003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3344.51937</v>
      </c>
      <c r="G44" s="76">
        <f t="shared" si="5"/>
        <v>151663.97608000002</v>
      </c>
      <c r="H44" s="76">
        <f t="shared" si="5"/>
        <v>67377.023920000007</v>
      </c>
      <c r="I44" s="76">
        <f t="shared" si="5"/>
        <v>197214.78293000002</v>
      </c>
      <c r="J44" s="243"/>
    </row>
    <row r="45" spans="1:13" ht="14.1" customHeight="1" x14ac:dyDescent="0.25">
      <c r="A45" s="101"/>
      <c r="B45" s="24"/>
      <c r="C45" s="77" t="s">
        <v>131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132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0</v>
      </c>
      <c r="F55" s="11">
        <f>F59+F58+F57+F56</f>
        <v>0</v>
      </c>
      <c r="G55" s="295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/>
      <c r="F56" s="127"/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/>
      <c r="F57" s="127"/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/>
      <c r="F58" s="127"/>
      <c r="G58" s="296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/>
      <c r="F59" s="192"/>
      <c r="G59" s="297"/>
      <c r="H59" s="192"/>
      <c r="I59" s="257"/>
      <c r="J59" s="243"/>
    </row>
    <row r="60" spans="1:10" ht="14.1" customHeight="1" thickBot="1" x14ac:dyDescent="0.3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thickBot="1" x14ac:dyDescent="0.3">
      <c r="A61" s="101"/>
      <c r="B61" s="24"/>
      <c r="C61" s="142" t="s">
        <v>47</v>
      </c>
      <c r="D61" s="139">
        <v>3000</v>
      </c>
      <c r="E61" s="139">
        <v>179</v>
      </c>
      <c r="F61" s="139">
        <v>2128</v>
      </c>
      <c r="G61" s="139">
        <f>D61-F61</f>
        <v>872</v>
      </c>
      <c r="H61" s="139">
        <v>2712</v>
      </c>
      <c r="I61" s="257"/>
      <c r="J61" s="243"/>
    </row>
    <row r="62" spans="1:10" ht="14.1" customHeight="1" x14ac:dyDescent="0.25">
      <c r="A62" s="101"/>
      <c r="B62" s="24"/>
      <c r="C62" s="77" t="s">
        <v>133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18.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143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34.739599999999996</v>
      </c>
      <c r="G92" s="11">
        <f t="shared" si="6"/>
        <v>21851.92035</v>
      </c>
      <c r="H92" s="11">
        <f t="shared" si="6"/>
        <v>4109.0796500000006</v>
      </c>
      <c r="I92" s="11">
        <f t="shared" si="6"/>
        <v>36430.610249999998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30.9624</f>
        <v>30.962399999999999</v>
      </c>
      <c r="G93" s="23">
        <f>21110.0369</f>
        <v>21110.036899999999</v>
      </c>
      <c r="H93" s="23">
        <f>E93-G93</f>
        <v>4025.9631000000008</v>
      </c>
      <c r="I93" s="23">
        <f>35946.55731</f>
        <v>35946.557309999997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3.7772</f>
        <v>3.7772000000000001</v>
      </c>
      <c r="G94" s="50">
        <f>741.88345</f>
        <v>741.88345000000004</v>
      </c>
      <c r="H94" s="50">
        <f>E94-G94</f>
        <v>83.116549999999961</v>
      </c>
      <c r="I94" s="50">
        <f>484.05294</f>
        <v>484.05293999999998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893.89622000000008</v>
      </c>
      <c r="G95" s="11">
        <f t="shared" si="7"/>
        <v>19789.933129999998</v>
      </c>
      <c r="H95" s="11">
        <f t="shared" si="7"/>
        <v>29204.066870000002</v>
      </c>
      <c r="I95" s="11">
        <f t="shared" si="7"/>
        <v>13799.314769999999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792.13638000000003</v>
      </c>
      <c r="G96" s="132">
        <f t="shared" si="8"/>
        <v>14332.14662</v>
      </c>
      <c r="H96" s="132">
        <f t="shared" si="8"/>
        <v>23161.85338</v>
      </c>
      <c r="I96" s="132">
        <f t="shared" si="8"/>
        <v>8985.1356999999989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110.63776</f>
        <v>110.63776</v>
      </c>
      <c r="G97" s="127">
        <f>3301.27987</f>
        <v>3301.2798699999998</v>
      </c>
      <c r="H97" s="127">
        <f t="shared" ref="H97:H104" si="9">E97-G97</f>
        <v>6713.7201299999997</v>
      </c>
      <c r="I97" s="127">
        <f>1890.46396</f>
        <v>1890.46396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246.84546</f>
        <v>246.84546</v>
      </c>
      <c r="G98" s="127">
        <f>4898.62132</f>
        <v>4898.6213200000002</v>
      </c>
      <c r="H98" s="127">
        <f t="shared" si="9"/>
        <v>5715.3786799999998</v>
      </c>
      <c r="I98" s="127">
        <f>2729.7191</f>
        <v>2729.7190999999998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265.23404</f>
        <v>265.23403999999999</v>
      </c>
      <c r="G99" s="127">
        <f>3801.48251</f>
        <v>3801.4825099999998</v>
      </c>
      <c r="H99" s="127">
        <f t="shared" si="9"/>
        <v>6310.5174900000002</v>
      </c>
      <c r="I99" s="127">
        <f>2155.11717</f>
        <v>2155.11717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169.41912</f>
        <v>169.41911999999999</v>
      </c>
      <c r="G100" s="127">
        <f>2330.76292</f>
        <v>2330.7629200000001</v>
      </c>
      <c r="H100" s="127">
        <f t="shared" si="9"/>
        <v>4422.2370799999999</v>
      </c>
      <c r="I100" s="127">
        <f>2209.83547</f>
        <v>2209.83547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50.1602</f>
        <v>50.160200000000003</v>
      </c>
      <c r="G101" s="132">
        <f>3920.19835</f>
        <v>3920.1983500000001</v>
      </c>
      <c r="H101" s="132">
        <f t="shared" si="9"/>
        <v>3675.8016499999999</v>
      </c>
      <c r="I101" s="132">
        <f>3741.10729</f>
        <v>3741.1072899999999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51.59964</f>
        <v>51.599640000000001</v>
      </c>
      <c r="G102" s="75">
        <f>1537.58816</f>
        <v>1537.58816</v>
      </c>
      <c r="H102" s="75">
        <f t="shared" si="9"/>
        <v>2366.4118399999998</v>
      </c>
      <c r="I102" s="75">
        <f>1073.07178</f>
        <v>1073.07178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0.02964</f>
        <v>2.964E-2</v>
      </c>
      <c r="G103" s="98">
        <f>35.75146</f>
        <v>35.751460000000002</v>
      </c>
      <c r="H103" s="98">
        <f t="shared" si="9"/>
        <v>283.24853999999999</v>
      </c>
      <c r="I103" s="98">
        <f>11.14436</f>
        <v>11.144360000000001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1.71283</f>
        <v>1.7128300000000001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0.72708</f>
        <v>0.72707999999999995</v>
      </c>
      <c r="G105" s="98">
        <f>18.56124</f>
        <v>18.561240000000002</v>
      </c>
      <c r="H105" s="139">
        <f>E105-G105</f>
        <v>31.438759999999998</v>
      </c>
      <c r="I105" s="98">
        <f>6.3949</f>
        <v>6.3948999999999998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15.97624</f>
        <v>15.976240000000001</v>
      </c>
      <c r="H106" s="139">
        <f t="shared" ref="H106" si="10">E106-G106</f>
        <v>-15.976240000000001</v>
      </c>
      <c r="I106" s="139">
        <f>23.28016</f>
        <v>23.280159999999999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931.10537000000011</v>
      </c>
      <c r="G107" s="76">
        <f t="shared" si="12"/>
        <v>42012.142420000004</v>
      </c>
      <c r="H107" s="76">
        <f t="shared" si="12"/>
        <v>33611.857579999996</v>
      </c>
      <c r="I107" s="76">
        <f t="shared" si="12"/>
        <v>50570.744439999995</v>
      </c>
      <c r="J107" s="243"/>
    </row>
    <row r="108" spans="1:10" ht="13.5" customHeight="1" x14ac:dyDescent="0.25">
      <c r="A108" s="1"/>
      <c r="B108" s="253"/>
      <c r="C108" s="77" t="s">
        <v>134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135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693.93509999999992</v>
      </c>
      <c r="G128" s="11">
        <f t="shared" si="13"/>
        <v>32345.696250000001</v>
      </c>
      <c r="H128" s="11">
        <f t="shared" si="13"/>
        <v>39961.303749999999</v>
      </c>
      <c r="I128" s="11">
        <f t="shared" si="13"/>
        <v>30462.86145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534.62565</f>
        <v>534.62564999999995</v>
      </c>
      <c r="G129" s="23">
        <f>28561.83181</f>
        <v>28561.83181</v>
      </c>
      <c r="H129" s="23">
        <f>E129-G129</f>
        <v>29000.16819</v>
      </c>
      <c r="I129" s="23">
        <f>26186.97437</f>
        <v>26186.97437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159.30945</f>
        <v>159.30945</v>
      </c>
      <c r="G130" s="23">
        <f>3718.41429</f>
        <v>3718.4142900000002</v>
      </c>
      <c r="H130" s="23">
        <f>E130-G130</f>
        <v>10526.585709999999</v>
      </c>
      <c r="I130" s="23">
        <f>4160.58083</f>
        <v>4160.5808299999999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74.9984</f>
        <v>74.998400000000004</v>
      </c>
      <c r="G132" s="95">
        <f>129.0714+1570.849995</f>
        <v>1699.9213950000001</v>
      </c>
      <c r="H132" s="95">
        <f>E132-G132</f>
        <v>50796.078605000002</v>
      </c>
      <c r="I132" s="95">
        <f>2027.00731</f>
        <v>2027.00731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851.25660000000005</v>
      </c>
      <c r="G133" s="94">
        <f t="shared" ref="G133" si="14">G134+G139+G142</f>
        <v>41912.553864999994</v>
      </c>
      <c r="H133" s="94">
        <f>H134+H139+H142</f>
        <v>38252.446134999998</v>
      </c>
      <c r="I133" s="94">
        <f>I134+I139+I142</f>
        <v>41328.322200000002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655.31253000000004</v>
      </c>
      <c r="G134" s="125">
        <f>G135+G136+G138+G137</f>
        <v>31387.865894999999</v>
      </c>
      <c r="H134" s="125">
        <f>H135+H136+H137+H138</f>
        <v>27691.134104999997</v>
      </c>
      <c r="I134" s="125">
        <f>I135+I136+I137+I138</f>
        <v>33123.949460000003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172.05768</f>
        <v>172.05768</v>
      </c>
      <c r="G135" s="127">
        <v>5970.63969</v>
      </c>
      <c r="H135" s="127">
        <f>E135-G135</f>
        <v>11803.36031</v>
      </c>
      <c r="I135" s="127">
        <f>5132.4635</f>
        <v>5132.4634999999998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186.64381</f>
        <v>186.64381</v>
      </c>
      <c r="G136" s="127">
        <v>9840.4743550000003</v>
      </c>
      <c r="H136" s="127">
        <f>E136-G136</f>
        <v>5098.5256449999997</v>
      </c>
      <c r="I136" s="127">
        <f>9506.52562</f>
        <v>9506.5256200000003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115.86204</f>
        <v>115.86203999999999</v>
      </c>
      <c r="G137" s="127">
        <v>8087.4847500000005</v>
      </c>
      <c r="H137" s="127">
        <f>E137-G137</f>
        <v>4963.5152499999995</v>
      </c>
      <c r="I137" s="127">
        <f>8754.36691</f>
        <v>8754.3669100000006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180.749</f>
        <v>180.749</v>
      </c>
      <c r="G138" s="127">
        <v>7489.2671000000009</v>
      </c>
      <c r="H138" s="127">
        <f>E138-G138</f>
        <v>5825.7328999999991</v>
      </c>
      <c r="I138" s="127">
        <f>9730.59343</f>
        <v>9730.5934300000008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50.4681</v>
      </c>
      <c r="G139" s="132">
        <f>SUM(G140:G141)</f>
        <v>7736.6054000000004</v>
      </c>
      <c r="H139" s="132">
        <f>H140+H141</f>
        <v>1193.3945999999996</v>
      </c>
      <c r="I139" s="132">
        <f>SUM(I140:I141)</f>
        <v>5653.2219999999998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48.0681</f>
        <v>48.068100000000001</v>
      </c>
      <c r="G140" s="127">
        <f>7542.26374</f>
        <v>7542.2637400000003</v>
      </c>
      <c r="H140" s="127">
        <f t="shared" ref="H140:H148" si="15">E140-G140</f>
        <v>887.73625999999967</v>
      </c>
      <c r="I140" s="127">
        <f>5535.86767</f>
        <v>5535.8676699999996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2.4</f>
        <v>2.4</v>
      </c>
      <c r="G141" s="127">
        <f>194.34166</f>
        <v>194.34165999999999</v>
      </c>
      <c r="H141" s="127">
        <f t="shared" si="15"/>
        <v>305.65834000000001</v>
      </c>
      <c r="I141" s="127">
        <f>117.35433</f>
        <v>117.35433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145.47597</f>
        <v>145.47596999999999</v>
      </c>
      <c r="G142" s="75">
        <f>2788.08257</f>
        <v>2788.08257</v>
      </c>
      <c r="H142" s="75">
        <f t="shared" si="15"/>
        <v>9367.9174299999995</v>
      </c>
      <c r="I142" s="75">
        <f>2551.15074</f>
        <v>2551.15074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15.54558</f>
        <v>15.545579999999999</v>
      </c>
      <c r="H143" s="139">
        <f t="shared" si="15"/>
        <v>130.45442</v>
      </c>
      <c r="I143" s="139">
        <f>21.30559</f>
        <v>21.305589999999999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9.04227</f>
        <v>9.0422700000000003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4.7295</f>
        <v>4.7294999999999998</v>
      </c>
      <c r="G147" s="98">
        <f>35.28823</f>
        <v>35.288229999999999</v>
      </c>
      <c r="H147" s="139">
        <f t="shared" si="15"/>
        <v>240.71177</v>
      </c>
      <c r="I147" s="98">
        <f>26.0926</f>
        <v>26.092600000000001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109.94869</f>
        <v>109.94869</v>
      </c>
      <c r="H148" s="139">
        <f t="shared" si="15"/>
        <v>-109.94869</v>
      </c>
      <c r="I148" s="139">
        <f>86.5963</f>
        <v>86.596299999999999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1633.9618699999996</v>
      </c>
      <c r="G150" s="76">
        <f>G128+G132+G133+G143+G144+G145+G146+G147+G148</f>
        <v>78118.954010000001</v>
      </c>
      <c r="H150" s="76">
        <f>H128+H132+H133+H143+H144+H145+H146+H147+H148</f>
        <v>129521.04599</v>
      </c>
      <c r="I150" s="76">
        <f>I128+I132+I133+I143+I144+I145+I146+I147+I148</f>
        <v>75952.185450000019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136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137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0</f>
        <v>0</v>
      </c>
      <c r="F175" s="275">
        <f>343.12424</f>
        <v>343.12423999999999</v>
      </c>
      <c r="G175" s="43">
        <f>D175-F175-F176</f>
        <v>3480.0886299999997</v>
      </c>
      <c r="H175" s="275">
        <f>609.75321</f>
        <v>609.75320999999997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7.253</f>
        <v>7.2530000000000001</v>
      </c>
      <c r="F176" s="152">
        <f>399.78713</f>
        <v>399.78712999999999</v>
      </c>
      <c r="G176" s="216"/>
      <c r="H176" s="152">
        <f>303.46311</f>
        <v>303.46310999999997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25.0249</f>
        <v>25.024899999999999</v>
      </c>
      <c r="G177" s="172">
        <f>D177-F177</f>
        <v>174.9751</v>
      </c>
      <c r="H177" s="172">
        <f>32.37132</f>
        <v>32.371319999999997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18.234220000000001</v>
      </c>
      <c r="F178" s="181">
        <f>F179+F180+F181</f>
        <v>76.353229999999996</v>
      </c>
      <c r="G178" s="181">
        <f>D178-F178</f>
        <v>6257.6467700000003</v>
      </c>
      <c r="H178" s="181">
        <f>H179+H180+H181</f>
        <v>23.991100000000003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5.3425</f>
        <v>5.3425000000000002</v>
      </c>
      <c r="F179" s="127">
        <f>40.80791</f>
        <v>40.80791</v>
      </c>
      <c r="G179" s="127"/>
      <c r="H179" s="127">
        <f>8.0482</f>
        <v>8.0481999999999996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5.38002</f>
        <v>5.38002</v>
      </c>
      <c r="F180" s="127">
        <f>18.73524</f>
        <v>18.735240000000001</v>
      </c>
      <c r="G180" s="127"/>
      <c r="H180" s="127">
        <f>14.83878</f>
        <v>14.83878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7.5117</f>
        <v>7.5117000000000003</v>
      </c>
      <c r="F181" s="192">
        <f>16.81008</f>
        <v>16.810079999999999</v>
      </c>
      <c r="G181" s="192"/>
      <c r="H181" s="192">
        <f>1.10412</f>
        <v>1.10412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25.487220000000001</v>
      </c>
      <c r="F184" s="194">
        <f>F175+F176+F177+F178+F182+F183</f>
        <v>844.28950000000009</v>
      </c>
      <c r="G184" s="194">
        <f>D184-F184</f>
        <v>9978.7104999999992</v>
      </c>
      <c r="H184" s="194">
        <f>H175+H176+H177+H178+H182+H183</f>
        <v>969.57873999999993</v>
      </c>
      <c r="I184" s="163"/>
      <c r="J184" s="160"/>
    </row>
    <row r="185" spans="1:10" ht="42" customHeight="1" x14ac:dyDescent="0.2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124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125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128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1.33574</f>
        <v>1.3357399999999999</v>
      </c>
      <c r="F204" s="124">
        <f>13106.01804</f>
        <v>13106.018040000001</v>
      </c>
      <c r="G204" s="124">
        <f>D204-F204</f>
        <v>33175.981959999997</v>
      </c>
      <c r="H204" s="124">
        <f>7976.88822</f>
        <v>7976.8882199999998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0.027</f>
        <v>2.7E-2</v>
      </c>
      <c r="F205" s="124">
        <f>6.85405</f>
        <v>6.85405</v>
      </c>
      <c r="G205" s="124">
        <f>D205-F205</f>
        <v>93.145949999999999</v>
      </c>
      <c r="H205" s="124">
        <f>1.49217</f>
        <v>1.49217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1.3627399999999998</v>
      </c>
      <c r="F207" s="190">
        <f>SUM(F204:F206)</f>
        <v>13112.872090000001</v>
      </c>
      <c r="G207" s="190">
        <f>D207-F207</f>
        <v>33305.127909999996</v>
      </c>
      <c r="H207" s="190">
        <f>SUM(H204:H206)</f>
        <v>7978.3803900000003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119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126</v>
      </c>
      <c r="D249" s="124">
        <v>3987</v>
      </c>
      <c r="E249" s="75">
        <f>E250+E251</f>
        <v>18.33222</v>
      </c>
      <c r="F249" s="75">
        <f>F250+F251</f>
        <v>2137.44301</v>
      </c>
      <c r="G249" s="75">
        <f>D249-F249</f>
        <v>1849.55699</v>
      </c>
      <c r="H249" s="75">
        <f>H250+H251</f>
        <v>1269.12796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8.5224</f>
        <v>8.5223999999999993</v>
      </c>
      <c r="F250" s="75">
        <f>1697.28507</f>
        <v>1697.2850699999999</v>
      </c>
      <c r="G250" s="75"/>
      <c r="H250" s="75">
        <f>923.66811</f>
        <v>923.66810999999996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9.80982</f>
        <v>9.8098200000000002</v>
      </c>
      <c r="F251" s="124">
        <f>440.15794</f>
        <v>440.15794</v>
      </c>
      <c r="G251" s="168"/>
      <c r="H251" s="124">
        <f>345.45985</f>
        <v>345.45985000000002</v>
      </c>
      <c r="I251" s="247"/>
      <c r="J251" s="120"/>
    </row>
    <row r="252" spans="1:10" ht="15" customHeight="1" x14ac:dyDescent="0.25">
      <c r="A252" s="1"/>
      <c r="B252" s="253"/>
      <c r="C252" s="90" t="s">
        <v>127</v>
      </c>
      <c r="D252" s="124">
        <v>4613</v>
      </c>
      <c r="E252" s="75">
        <f>394.45978</f>
        <v>394.45978000000002</v>
      </c>
      <c r="F252" s="75">
        <f>2896.89605</f>
        <v>2896.8960499999998</v>
      </c>
      <c r="G252" s="75">
        <f>D252-F252</f>
        <v>1716.1039500000002</v>
      </c>
      <c r="H252" s="75">
        <f>2549.80987</f>
        <v>2549.80987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SUM(E249:E252)</f>
        <v>431.12422000000004</v>
      </c>
      <c r="F253" s="190">
        <f>SUM(F249,F252)</f>
        <v>5034.3390600000002</v>
      </c>
      <c r="G253" s="190">
        <f>D253-F253</f>
        <v>3565.6609399999998</v>
      </c>
      <c r="H253" s="190">
        <f>SUM(H249:H252)</f>
        <v>5088.0657900000006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120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126</v>
      </c>
      <c r="D295" s="124">
        <v>5090</v>
      </c>
      <c r="E295" s="75">
        <f>E296+E297</f>
        <v>3.3969999999999998</v>
      </c>
      <c r="F295" s="75">
        <f>F296+F297</f>
        <v>1739.6380100000001</v>
      </c>
      <c r="G295" s="75">
        <f>D295-F295</f>
        <v>3350.3619899999999</v>
      </c>
      <c r="H295" s="75">
        <f>H296+H297</f>
        <v>824.86597000000006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0.0744</f>
        <v>7.4399999999999994E-2</v>
      </c>
      <c r="F296" s="75">
        <f>1446.34245</f>
        <v>1446.3424500000001</v>
      </c>
      <c r="G296" s="75"/>
      <c r="H296" s="75">
        <f>623.27314</f>
        <v>623.27314000000001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3.3226</f>
        <v>3.3226</v>
      </c>
      <c r="F297" s="124">
        <f>293.29556</f>
        <v>293.29556000000002</v>
      </c>
      <c r="G297" s="168"/>
      <c r="H297" s="124">
        <f>201.59283</f>
        <v>201.59282999999999</v>
      </c>
      <c r="I297" s="247"/>
      <c r="J297" s="120"/>
    </row>
    <row r="298" spans="1:10" ht="15" customHeight="1" x14ac:dyDescent="0.25">
      <c r="A298" s="1"/>
      <c r="B298" s="253"/>
      <c r="C298" s="90" t="s">
        <v>127</v>
      </c>
      <c r="D298" s="124">
        <v>2981</v>
      </c>
      <c r="E298" s="75">
        <f>137.87542</f>
        <v>137.87541999999999</v>
      </c>
      <c r="F298" s="75">
        <f>1475.50398</f>
        <v>1475.50398</v>
      </c>
      <c r="G298" s="75">
        <f>D298-F298</f>
        <v>1505.49602</v>
      </c>
      <c r="H298" s="75">
        <f>1204.69582</f>
        <v>1204.6958199999999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SUM(E295:E298)</f>
        <v>144.66942</v>
      </c>
      <c r="F299" s="190">
        <f>SUM(F295,F298)</f>
        <v>3215.1419900000001</v>
      </c>
      <c r="G299" s="190">
        <f>D299-F299</f>
        <v>4855.8580099999999</v>
      </c>
      <c r="H299" s="190">
        <f>SUM(H295:H298)</f>
        <v>2854.42776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129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6.06101</f>
        <v>6.0610099999999996</v>
      </c>
      <c r="F350" s="124">
        <f>219.88487</f>
        <v>219.88487000000001</v>
      </c>
      <c r="G350" s="124">
        <f>D350-F350</f>
        <v>580.11513000000002</v>
      </c>
      <c r="H350" s="124">
        <f>144.37063</f>
        <v>144.37063000000001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9.27358</f>
        <v>9.2735800000000008</v>
      </c>
      <c r="F351" s="124">
        <f>420.64558</f>
        <v>420.64558</v>
      </c>
      <c r="G351" s="124">
        <f>D351-F351</f>
        <v>2620.3544200000001</v>
      </c>
      <c r="H351" s="124">
        <f>461.36506</f>
        <v>461.36506000000003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0.6352</f>
        <v>0.63519999999999999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0.047</f>
        <v>4.7E-2</v>
      </c>
      <c r="G353" s="124">
        <f>D353-F353</f>
        <v>-4.7E-2</v>
      </c>
      <c r="H353" s="168">
        <f>0.19282</f>
        <v>0.19281999999999999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15.33459</v>
      </c>
      <c r="F354" s="190">
        <f>SUM(F350:F353)</f>
        <v>641.18750999999997</v>
      </c>
      <c r="G354" s="190">
        <f>D354-F354</f>
        <v>3209.8124900000003</v>
      </c>
      <c r="H354" s="190">
        <f>H350+H351+H352+H353</f>
        <v>606.56371000000001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140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158.36183</v>
      </c>
      <c r="G380" s="252">
        <f t="shared" si="17"/>
        <v>4978.5913199999995</v>
      </c>
      <c r="H380" s="252">
        <f>H384+H383+H382+H381</f>
        <v>17990.40868</v>
      </c>
      <c r="I380" s="252">
        <f t="shared" si="17"/>
        <v>3332.0661399999999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109.2852</f>
        <v>109.2852</v>
      </c>
      <c r="G381" s="256">
        <f>3597.48446</f>
        <v>3597.4844600000001</v>
      </c>
      <c r="H381" s="256">
        <f t="shared" ref="H381:H385" si="18">E381-G381</f>
        <v>9592.5155400000003</v>
      </c>
      <c r="I381" s="256">
        <f>1619.98708</f>
        <v>1619.9870800000001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0.46575</f>
        <v>0.46575</v>
      </c>
      <c r="G382" s="256">
        <f>412.41015</f>
        <v>412.41014999999999</v>
      </c>
      <c r="H382" s="256">
        <f t="shared" si="18"/>
        <v>3020.5898499999998</v>
      </c>
      <c r="I382" s="256">
        <f>566.163</f>
        <v>566.16300000000001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9.69108</f>
        <v>9.6910799999999995</v>
      </c>
      <c r="G383" s="256">
        <f>850.97845</f>
        <v>850.97844999999995</v>
      </c>
      <c r="H383" s="256">
        <f t="shared" si="18"/>
        <v>632.02155000000005</v>
      </c>
      <c r="I383" s="256">
        <f>853.44901</f>
        <v>853.44901000000004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38.9198</f>
        <v>38.919800000000002</v>
      </c>
      <c r="G384" s="256">
        <f>117.71826</f>
        <v>117.71826</v>
      </c>
      <c r="H384" s="256">
        <f t="shared" si="18"/>
        <v>4745.2817400000004</v>
      </c>
      <c r="I384" s="256">
        <f>292.46705</f>
        <v>292.46704999999997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242.07582</f>
        <v>242.07581999999999</v>
      </c>
      <c r="G385" s="267">
        <f>608.86416</f>
        <v>608.86415999999997</v>
      </c>
      <c r="H385" s="267">
        <f t="shared" si="18"/>
        <v>4891.1358399999999</v>
      </c>
      <c r="I385" s="267">
        <f>2103.49166</f>
        <v>2103.4916600000001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15.947929999999999</v>
      </c>
      <c r="G386" s="268">
        <f>G388+G387</f>
        <v>1307.3382999999999</v>
      </c>
      <c r="H386" s="268">
        <f>E386-G386</f>
        <v>6692.6617000000006</v>
      </c>
      <c r="I386" s="268">
        <f>I388+I387</f>
        <v>1630.95199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517.84866</f>
        <v>517.84866</v>
      </c>
      <c r="H387" s="256"/>
      <c r="I387" s="256">
        <f>746.70325</f>
        <v>746.70325000000003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15.94793</f>
        <v>15.947929999999999</v>
      </c>
      <c r="G388" s="277">
        <f>789.48964</f>
        <v>789.48964000000001</v>
      </c>
      <c r="H388" s="277"/>
      <c r="I388" s="277">
        <f>884.24874</f>
        <v>884.24874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0.0651</f>
        <v>6.5100000000000005E-2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0.0912</f>
        <v>9.1200000000000003E-2</v>
      </c>
      <c r="G390" s="267">
        <f>4.3022</f>
        <v>4.3022</v>
      </c>
      <c r="H390" s="267">
        <f>E390-G390</f>
        <v>-4.3022</v>
      </c>
      <c r="I390" s="267">
        <f>22.975</f>
        <v>22.975000000000001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416.47677999999996</v>
      </c>
      <c r="G391" s="286">
        <f t="shared" si="19"/>
        <v>6899.1223799999998</v>
      </c>
      <c r="H391" s="286">
        <f>H380+H385+H386+H389+H390</f>
        <v>29582.877620000003</v>
      </c>
      <c r="I391" s="286">
        <f t="shared" si="19"/>
        <v>7089.5498900000002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139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138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121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1838.5002400000001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395.60914</f>
        <v>395.60914000000002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1221.9989800000001</v>
      </c>
      <c r="G416" s="85">
        <f>D416-F416</f>
        <v>-161.99898000000007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239.45669</f>
        <v>239.45669000000001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91.371700000000004</v>
      </c>
      <c r="F419" s="36">
        <f>SUM(F420:F421)</f>
        <v>615.63432</v>
      </c>
      <c r="G419" s="85">
        <f>D419-F419</f>
        <v>619.36568</v>
      </c>
      <c r="H419" s="36">
        <f>SUM(H420:H421)</f>
        <v>952.06768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65.718</f>
        <v>65.718000000000004</v>
      </c>
      <c r="F420" s="30">
        <f>423.10244</f>
        <v>423.10244</v>
      </c>
      <c r="G420" s="97"/>
      <c r="H420" s="30">
        <f>675.03368</f>
        <v>675.03368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25.6537</f>
        <v>25.653700000000001</v>
      </c>
      <c r="F421" s="30">
        <f>192.53188</f>
        <v>192.53188</v>
      </c>
      <c r="G421" s="108"/>
      <c r="H421" s="30">
        <f>277.034</f>
        <v>277.03399999999999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91.371700000000004</v>
      </c>
      <c r="F423" s="40">
        <f>F413+F416+F419+F422</f>
        <v>2826.0345299999999</v>
      </c>
      <c r="G423" s="41"/>
      <c r="H423" s="40">
        <f>H413+H416+H419+H422</f>
        <v>4684.1113400000004</v>
      </c>
      <c r="I423" s="27"/>
      <c r="J423" s="130"/>
    </row>
    <row r="424" spans="1:10" ht="42" customHeight="1" x14ac:dyDescent="0.25">
      <c r="A424" s="217"/>
      <c r="B424" s="72"/>
      <c r="C424" s="292" t="s">
        <v>122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17&amp;R29.04.2024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2024-04-29T07:53:32Z</dcterms:modified>
</cp:coreProperties>
</file>