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DD6C53CA-58A2-47CF-9447-1050AA2B79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I390" i="1"/>
  <c r="G390" i="1"/>
  <c r="H390" i="1" s="1"/>
  <c r="F390" i="1"/>
  <c r="I389" i="1"/>
  <c r="G389" i="1"/>
  <c r="H389" i="1" s="1"/>
  <c r="F389" i="1"/>
  <c r="I388" i="1"/>
  <c r="G388" i="1"/>
  <c r="G386" i="1" s="1"/>
  <c r="H386" i="1" s="1"/>
  <c r="F388" i="1"/>
  <c r="F386" i="1" s="1"/>
  <c r="F391" i="1" s="1"/>
  <c r="I387" i="1"/>
  <c r="G387" i="1"/>
  <c r="F387" i="1"/>
  <c r="I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I391" i="1" s="1"/>
  <c r="H380" i="1"/>
  <c r="H391" i="1" s="1"/>
  <c r="G380" i="1"/>
  <c r="F380" i="1"/>
  <c r="D380" i="1"/>
  <c r="D391" i="1" s="1"/>
  <c r="H372" i="1"/>
  <c r="F372" i="1"/>
  <c r="G354" i="1"/>
  <c r="F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D299" i="1"/>
  <c r="H298" i="1"/>
  <c r="F298" i="1"/>
  <c r="G298" i="1" s="1"/>
  <c r="E298" i="1"/>
  <c r="H297" i="1"/>
  <c r="F297" i="1"/>
  <c r="E297" i="1"/>
  <c r="H296" i="1"/>
  <c r="F296" i="1"/>
  <c r="F295" i="1" s="1"/>
  <c r="E296" i="1"/>
  <c r="H295" i="1"/>
  <c r="H299" i="1" s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H180" i="1"/>
  <c r="F180" i="1"/>
  <c r="E180" i="1"/>
  <c r="H179" i="1"/>
  <c r="H178" i="1" s="1"/>
  <c r="H184" i="1" s="1"/>
  <c r="F179" i="1"/>
  <c r="F178" i="1" s="1"/>
  <c r="G178" i="1" s="1"/>
  <c r="E179" i="1"/>
  <c r="H177" i="1"/>
  <c r="G177" i="1"/>
  <c r="F177" i="1"/>
  <c r="E177" i="1"/>
  <c r="H176" i="1"/>
  <c r="F176" i="1"/>
  <c r="E176" i="1"/>
  <c r="H175" i="1"/>
  <c r="F175" i="1"/>
  <c r="F184" i="1" s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G139" i="1" s="1"/>
  <c r="G133" i="1" s="1"/>
  <c r="F140" i="1"/>
  <c r="I139" i="1"/>
  <c r="H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G134" i="1"/>
  <c r="F134" i="1"/>
  <c r="F133" i="1" s="1"/>
  <c r="E134" i="1"/>
  <c r="E133" i="1" s="1"/>
  <c r="D134" i="1"/>
  <c r="D133" i="1"/>
  <c r="D150" i="1" s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G128" i="1" s="1"/>
  <c r="G150" i="1" s="1"/>
  <c r="F129" i="1"/>
  <c r="F128" i="1" s="1"/>
  <c r="F150" i="1" s="1"/>
  <c r="E128" i="1"/>
  <c r="E150" i="1" s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I107" i="1" s="1"/>
  <c r="G97" i="1"/>
  <c r="H97" i="1" s="1"/>
  <c r="H96" i="1" s="1"/>
  <c r="F97" i="1"/>
  <c r="F96" i="1" s="1"/>
  <c r="F95" i="1" s="1"/>
  <c r="E96" i="1"/>
  <c r="D96" i="1"/>
  <c r="E95" i="1"/>
  <c r="E107" i="1" s="1"/>
  <c r="D95" i="1"/>
  <c r="D107" i="1" s="1"/>
  <c r="I94" i="1"/>
  <c r="G94" i="1"/>
  <c r="H94" i="1" s="1"/>
  <c r="F94" i="1"/>
  <c r="I93" i="1"/>
  <c r="G93" i="1"/>
  <c r="G92" i="1" s="1"/>
  <c r="F93" i="1"/>
  <c r="I92" i="1"/>
  <c r="F92" i="1"/>
  <c r="E92" i="1"/>
  <c r="D92" i="1"/>
  <c r="C89" i="1"/>
  <c r="H85" i="1"/>
  <c r="F85" i="1"/>
  <c r="D85" i="1"/>
  <c r="H61" i="1"/>
  <c r="I35" i="1" s="1"/>
  <c r="H60" i="1"/>
  <c r="I55" i="1"/>
  <c r="I32" i="1" s="1"/>
  <c r="I27" i="1" s="1"/>
  <c r="G55" i="1"/>
  <c r="G32" i="1" s="1"/>
  <c r="H32" i="1" s="1"/>
  <c r="F55" i="1"/>
  <c r="F32" i="1" s="1"/>
  <c r="F27" i="1" s="1"/>
  <c r="I43" i="1"/>
  <c r="H43" i="1"/>
  <c r="G43" i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G35" i="1"/>
  <c r="F35" i="1"/>
  <c r="F34" i="1" s="1"/>
  <c r="E35" i="1"/>
  <c r="H35" i="1" s="1"/>
  <c r="G34" i="1"/>
  <c r="H34" i="1" s="1"/>
  <c r="D34" i="1"/>
  <c r="I33" i="1"/>
  <c r="H33" i="1"/>
  <c r="G33" i="1"/>
  <c r="F33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D26" i="1" s="1"/>
  <c r="E26" i="1"/>
  <c r="I25" i="1"/>
  <c r="G25" i="1"/>
  <c r="H25" i="1" s="1"/>
  <c r="H23" i="1" s="1"/>
  <c r="F25" i="1"/>
  <c r="I24" i="1"/>
  <c r="I23" i="1" s="1"/>
  <c r="H24" i="1"/>
  <c r="G24" i="1"/>
  <c r="F24" i="1"/>
  <c r="F23" i="1" s="1"/>
  <c r="E23" i="1"/>
  <c r="E44" i="1" s="1"/>
  <c r="D23" i="1"/>
  <c r="D44" i="1" s="1"/>
  <c r="H16" i="1"/>
  <c r="F16" i="1"/>
  <c r="D16" i="1"/>
  <c r="I34" i="1" l="1"/>
  <c r="I26" i="1" s="1"/>
  <c r="I44" i="1" s="1"/>
  <c r="H27" i="1"/>
  <c r="H26" i="1" s="1"/>
  <c r="H44" i="1" s="1"/>
  <c r="H134" i="1"/>
  <c r="H133" i="1" s="1"/>
  <c r="G184" i="1"/>
  <c r="F423" i="1"/>
  <c r="G423" i="1" s="1"/>
  <c r="H95" i="1"/>
  <c r="I150" i="1"/>
  <c r="F26" i="1"/>
  <c r="F107" i="1"/>
  <c r="F299" i="1"/>
  <c r="G299" i="1" s="1"/>
  <c r="G295" i="1"/>
  <c r="E184" i="1"/>
  <c r="G249" i="1"/>
  <c r="F253" i="1"/>
  <c r="G253" i="1" s="1"/>
  <c r="F44" i="1"/>
  <c r="G391" i="1"/>
  <c r="F207" i="1"/>
  <c r="G207" i="1" s="1"/>
  <c r="G27" i="1"/>
  <c r="G26" i="1" s="1"/>
  <c r="G413" i="1"/>
  <c r="G96" i="1"/>
  <c r="G95" i="1" s="1"/>
  <c r="G107" i="1" s="1"/>
  <c r="H55" i="1"/>
  <c r="H93" i="1"/>
  <c r="H92" i="1" s="1"/>
  <c r="H107" i="1" s="1"/>
  <c r="H129" i="1"/>
  <c r="H128" i="1" s="1"/>
  <c r="G23" i="1"/>
  <c r="G175" i="1"/>
  <c r="H150" i="1" l="1"/>
  <c r="G44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<sst xmlns="http://schemas.openxmlformats.org/spreadsheetml/2006/main" count="359" uniqueCount="151">
  <si>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</si>
  <si>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</si>
  <si>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</si>
  <si>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</si>
  <si>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</si>
  <si>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</si>
  <si>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</si>
  <si>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</si>
  <si>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</si>
  <si>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</si>
  <si>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</si>
  <si>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</si>
  <si>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</si>
  <si>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</si>
  <si>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</si>
  <si>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</si>
  <si>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</si>
  <si>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</si>
  <si>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</si>
  <si>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</si>
  <si>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</si>
  <si>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</si>
  <si>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</si>
  <si>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</si>
  <si>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</si>
  <si>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</si>
  <si>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</si>
  <si>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</si>
  <si>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</si>
  <si>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</si>
  <si>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</si>
  <si>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</si>
  <si>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</si>
  <si>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</si>
  <si>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</si>
  <si>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</si>
  <si>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</si>
  <si>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</si>
  <si>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</si>
  <si>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</si>
  <si>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</si>
  <si>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</si>
  <si>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</si>
  <si>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</si>
  <si>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</si>
  <si>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</si>
  <si>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</si>
  <si>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</si>
  <si>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</si>
  <si>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</si>
  <si>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</si>
  <si>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</si>
  <si>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</si>
  <si>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</si>
  <si>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</si>
  <si>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</si>
  <si>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</si>
  <si>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</si>
  <si>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</si>
  <si>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</si>
  <si>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</si>
  <si>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</si>
  <si>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</si>
  <si>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</si>
  <si>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</si>
  <si>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</si>
  <si>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</si>
  <si>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</si>
  <si>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</si>
  <si>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</si>
  <si>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</si>
  <si>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</si>
  <si>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</si>
  <si>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</si>
  <si>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</si>
  <si>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</si>
  <si>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</si>
  <si>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</si>
  <si>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</si>
  <si>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</si>
  <si>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</si>
  <si>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</si>
  <si>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</si>
  <si>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</si>
  <si>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</si>
  <si>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</si>
  <si>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</si>
  <si>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</si>
  <si>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</si>
  <si>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</si>
  <si>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</si>
  <si>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</si>
  <si>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</si>
  <si>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</si>
  <si>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</si>
  <si>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</si>
  <si>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</si>
  <si>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</si>
  <si>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</si>
  <si>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</si>
  <si>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</si>
  <si>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</si>
  <si>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</si>
  <si>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</si>
  <si>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</si>
  <si>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</si>
  <si>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</si>
  <si>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</si>
  <si>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</si>
  <si>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</si>
  <si>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</si>
  <si>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</si>
  <si>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</si>
  <si>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</si>
  <si>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</si>
  <si>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</si>
  <si>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</si>
  <si>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</si>
  <si>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</si>
  <si>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</si>
  <si>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</si>
  <si>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</si>
  <si>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</si>
  <si>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</si>
  <si>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</si>
  <si>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</si>
  <si>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</si>
  <si>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</si>
  <si>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</si>
  <si>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</si>
  <si>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</si>
  <si>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</si>
  <si>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</si>
  <si>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</si>
  <si>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</si>
  <si>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</si>
  <si>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</si>
  <si>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</si>
  <si>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</si>
  <si>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</si>
  <si>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</si>
  <si>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</si>
  <si>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</si>
  <si>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62 tonn, men det legges til grunn at hele avsetningen tas</t>
  </si>
  <si>
    <t>4 Registrert rekreasjonsfiske utgjør 519 tonn, men det legges til grunn at hele avsetningen tas</t>
  </si>
  <si>
    <t>3 Registrert rekreasjonsfiske utgjør 895 tonn, men det legges til grunn at hele avsetningen tas</t>
  </si>
  <si>
    <t>FANGST UKE 47</t>
  </si>
  <si>
    <t>FANGST T.O.M UKE 47</t>
  </si>
  <si>
    <t>RESTKVOTER UKE 47</t>
  </si>
  <si>
    <t>FANGST T.O.M UKE 47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</si>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</sst>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79" zoomScale="87" zoomScaleNormal="85" zoomScaleSheetLayoutView="100" zoomScalePageLayoutView="87" workbookViewId="0">
      <selection activeCell="G137" sqref="G137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516.04949999999997</v>
      </c>
      <c r="G23" s="28">
        <f t="shared" si="0"/>
        <v>49444.513989999999</v>
      </c>
      <c r="H23" s="11">
        <f t="shared" si="0"/>
        <v>11367.486010000002</v>
      </c>
      <c r="I23" s="11">
        <f t="shared" si="0"/>
        <v>72924.566139999995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516.0495</f>
        <v>516.04949999999997</v>
      </c>
      <c r="G24" s="23">
        <f>48884.35606</f>
        <v>48884.356059999998</v>
      </c>
      <c r="H24" s="23">
        <f>E24-G24</f>
        <v>11157.643940000002</v>
      </c>
      <c r="I24" s="23">
        <f>72305.50179</f>
        <v>72305.501789999995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560.15793</f>
        <v>560.15792999999996</v>
      </c>
      <c r="H25" s="23">
        <f>E25-G25</f>
        <v>209.84207000000004</v>
      </c>
      <c r="I25" s="23">
        <f>619.06435</f>
        <v>619.06434999999999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1105.5153700000001</v>
      </c>
      <c r="G26" s="11">
        <f t="shared" si="1"/>
        <v>131039.53303999999</v>
      </c>
      <c r="H26" s="11">
        <f t="shared" si="1"/>
        <v>13834.466960000002</v>
      </c>
      <c r="I26" s="11">
        <f t="shared" si="1"/>
        <v>196951.34868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928.33139000000006</v>
      </c>
      <c r="G27" s="132">
        <f t="shared" ref="G27:I27" si="2">G28+G29+G30+G31+G32</f>
        <v>105336.52367</v>
      </c>
      <c r="H27" s="132">
        <f t="shared" si="2"/>
        <v>7641.4763300000013</v>
      </c>
      <c r="I27" s="132">
        <f t="shared" si="2"/>
        <v>151967.23563000001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282.40464</f>
        <v>282.40463999999997</v>
      </c>
      <c r="G28" s="127">
        <f>27592.1358 - G56</f>
        <v>26124.1358</v>
      </c>
      <c r="H28" s="127">
        <f t="shared" ref="H28:H40" si="3">E28-G28</f>
        <v>2505.8642</v>
      </c>
      <c r="I28" s="127">
        <f>38428.72614 - H56</f>
        <v>38428.726139999999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183.10525</f>
        <v>183.10525000000001</v>
      </c>
      <c r="G29" s="127">
        <f>30201.39406 - G57</f>
        <v>28358.394059999999</v>
      </c>
      <c r="H29" s="127">
        <f t="shared" si="3"/>
        <v>1306.6059400000013</v>
      </c>
      <c r="I29" s="127">
        <f>41798.28095 - H57</f>
        <v>41798.28095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45.73356</f>
        <v>45.733559999999997</v>
      </c>
      <c r="G30" s="127">
        <f>27322.03444 - G58</f>
        <v>25943.034439999999</v>
      </c>
      <c r="H30" s="127">
        <f t="shared" si="3"/>
        <v>1300.9655600000006</v>
      </c>
      <c r="I30" s="127">
        <f>38070.91234 - H58</f>
        <v>38070.912340000003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32.08794</f>
        <v>32.087940000000003</v>
      </c>
      <c r="G31" s="127">
        <f>20220.95937 - G59</f>
        <v>19066.95937</v>
      </c>
      <c r="H31" s="127">
        <f t="shared" si="3"/>
        <v>272.04062999999951</v>
      </c>
      <c r="I31" s="127">
        <f>25531.3162 - H59</f>
        <v>25531.316200000001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385</v>
      </c>
      <c r="G32" s="127">
        <f>G55</f>
        <v>5844</v>
      </c>
      <c r="H32" s="127">
        <f t="shared" si="3"/>
        <v>2256</v>
      </c>
      <c r="I32" s="127">
        <f>I55</f>
        <v>8138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1.3413</f>
        <v>1.3412999999999999</v>
      </c>
      <c r="G33" s="132">
        <f>13169.48447</f>
        <v>13169.484469999999</v>
      </c>
      <c r="H33" s="132">
        <f t="shared" si="3"/>
        <v>3689.5155300000006</v>
      </c>
      <c r="I33" s="132">
        <f>19023.98606</f>
        <v>19023.986059999999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175.84268</v>
      </c>
      <c r="G34" s="132">
        <f>G35+G36</f>
        <v>12533.5249</v>
      </c>
      <c r="H34" s="132">
        <f t="shared" si="3"/>
        <v>2503.4750999999997</v>
      </c>
      <c r="I34" s="132">
        <f>I35+I36</f>
        <v>25960.126990000001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103.84268</f>
        <v>103.84268</v>
      </c>
      <c r="G35" s="132">
        <f>15440.5249 - G60 - G61</f>
        <v>11701.5249</v>
      </c>
      <c r="H35" s="127">
        <f t="shared" si="3"/>
        <v>2375.4750999999997</v>
      </c>
      <c r="I35" s="127">
        <f>25287.12699 - H60 - H61</f>
        <v>25066.126990000001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72</v>
      </c>
      <c r="G36" s="71">
        <f>G60</f>
        <v>832</v>
      </c>
      <c r="H36" s="71">
        <f t="shared" si="3"/>
        <v>128</v>
      </c>
      <c r="I36" s="71">
        <f>I60</f>
        <v>894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1.7325</f>
        <v>1.7324999999999999</v>
      </c>
      <c r="G38" s="98">
        <f>511.05706</f>
        <v>511.05705999999998</v>
      </c>
      <c r="H38" s="98">
        <f t="shared" si="3"/>
        <v>343.94294000000002</v>
      </c>
      <c r="I38" s="98">
        <f>560.1215</f>
        <v>560.12149999999997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16</v>
      </c>
      <c r="G39" s="98">
        <f>G61</f>
        <v>2907</v>
      </c>
      <c r="H39" s="98">
        <f t="shared" si="3"/>
        <v>93</v>
      </c>
      <c r="I39" s="98">
        <f>I61</f>
        <v>4468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2.48005</f>
        <v>2.4800499999999999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1.97076</f>
        <v>1.9707600000000001</v>
      </c>
      <c r="G41" s="98">
        <f>353.54906</f>
        <v>353.54906</v>
      </c>
      <c r="H41" s="98">
        <f>E41-G41</f>
        <v>46.450940000000003</v>
      </c>
      <c r="I41" s="98">
        <f>360.0537</f>
        <v>360.05369999999999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27.9775</f>
        <v>27.977499999999999</v>
      </c>
      <c r="G43" s="139">
        <f>207.19339</f>
        <v>207.19338999999999</v>
      </c>
      <c r="H43" s="139">
        <f t="shared" ref="H43" si="4">E43-G43</f>
        <v>-207.19338999999999</v>
      </c>
      <c r="I43" s="139">
        <f>162.45477</f>
        <v>162.45477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1671.72568</v>
      </c>
      <c r="G44" s="76">
        <f t="shared" si="5"/>
        <v>191811.21173999997</v>
      </c>
      <c r="H44" s="76">
        <f t="shared" si="5"/>
        <v>27229.788260000005</v>
      </c>
      <c r="I44" s="76">
        <f t="shared" si="5"/>
        <v>283173.33639000001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385</v>
      </c>
      <c r="G55" s="11">
        <f>G59+G58+G57+G56</f>
        <v>5844</v>
      </c>
      <c r="H55" s="295">
        <f>E55-G55</f>
        <v>2256</v>
      </c>
      <c r="I55" s="11">
        <f>I59+I58+I57+I56</f>
        <v>8138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185</v>
      </c>
      <c r="G56" s="127">
        <v>1468</v>
      </c>
      <c r="H56" s="296"/>
      <c r="I56" s="127">
        <v>1440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141</v>
      </c>
      <c r="G57" s="127">
        <v>1843</v>
      </c>
      <c r="H57" s="296"/>
      <c r="I57" s="127">
        <v>2737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35</v>
      </c>
      <c r="G58" s="127">
        <v>1379</v>
      </c>
      <c r="H58" s="296"/>
      <c r="I58" s="127">
        <v>2652</v>
      </c>
      <c r="J58" s="120"/>
    </row>
    <row r="59" spans="1:10" ht="14.15" customHeight="1" x14ac:dyDescent="0.35">
      <c r="A59" s="101"/>
      <c r="B59" s="24"/>
      <c r="C59" s="87" t="s">
        <v>27</v>
      </c>
      <c r="D59" s="297"/>
      <c r="E59" s="297"/>
      <c r="F59" s="192">
        <v>24</v>
      </c>
      <c r="G59" s="192">
        <v>1154</v>
      </c>
      <c r="H59" s="297"/>
      <c r="I59" s="192">
        <v>1309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72</v>
      </c>
      <c r="G60" s="95">
        <v>832</v>
      </c>
      <c r="H60" s="95">
        <f>E60-G60</f>
        <v>128</v>
      </c>
      <c r="I60" s="95">
        <v>894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16</v>
      </c>
      <c r="G61" s="139">
        <v>2907</v>
      </c>
      <c r="H61" s="139">
        <f>E61-G61</f>
        <v>93</v>
      </c>
      <c r="I61" s="139">
        <v>4468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95.055800000000005</v>
      </c>
      <c r="G92" s="11">
        <f t="shared" si="6"/>
        <v>24723.775089999999</v>
      </c>
      <c r="H92" s="11">
        <f t="shared" si="6"/>
        <v>1237.2249100000004</v>
      </c>
      <c r="I92" s="11">
        <f t="shared" si="6"/>
        <v>43415.691559999999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95.0558</f>
        <v>95.055800000000005</v>
      </c>
      <c r="G93" s="23">
        <f>23921.80574</f>
        <v>23921.80574</v>
      </c>
      <c r="H93" s="23">
        <f>E93-G93</f>
        <v>1214.1942600000002</v>
      </c>
      <c r="I93" s="23">
        <f>42770.79577</f>
        <v>42770.795769999997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801.96935</f>
        <v>801.96934999999996</v>
      </c>
      <c r="H94" s="50">
        <f>E94-G94</f>
        <v>23.030650000000037</v>
      </c>
      <c r="I94" s="50">
        <f>644.89579</f>
        <v>644.89579000000003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243.11983999999998</v>
      </c>
      <c r="G95" s="11">
        <f t="shared" si="7"/>
        <v>42747.219110000005</v>
      </c>
      <c r="H95" s="11">
        <f t="shared" si="7"/>
        <v>6246.78089</v>
      </c>
      <c r="I95" s="11">
        <f t="shared" si="7"/>
        <v>37908.296750000001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182.06631999999999</v>
      </c>
      <c r="G96" s="132">
        <f t="shared" si="8"/>
        <v>33843.080030000005</v>
      </c>
      <c r="H96" s="132">
        <f t="shared" si="8"/>
        <v>3650.9199699999999</v>
      </c>
      <c r="I96" s="132">
        <f t="shared" si="8"/>
        <v>25519.538039999999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106.80416</f>
        <v>106.80416</v>
      </c>
      <c r="G97" s="127">
        <f>5949.67101</f>
        <v>5949.67101</v>
      </c>
      <c r="H97" s="127">
        <f t="shared" ref="H97:H104" si="9">E97-G97</f>
        <v>4065.32899</v>
      </c>
      <c r="I97" s="127">
        <f>4794.90696</f>
        <v>4794.9069600000003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37.89926</f>
        <v>37.899259999999998</v>
      </c>
      <c r="G98" s="127">
        <f>10722.18115</f>
        <v>10722.18115</v>
      </c>
      <c r="H98" s="127">
        <f t="shared" si="9"/>
        <v>-108.18115000000034</v>
      </c>
      <c r="I98" s="127">
        <f>8236.77309</f>
        <v>8236.7730900000006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30.24218</f>
        <v>30.242180000000001</v>
      </c>
      <c r="G99" s="127">
        <f>10106.95392</f>
        <v>10106.95392</v>
      </c>
      <c r="H99" s="127">
        <f t="shared" si="9"/>
        <v>5.0460800000000745</v>
      </c>
      <c r="I99" s="127">
        <f>7152.63275</f>
        <v>7152.6327499999998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7.12072</f>
        <v>7.1207200000000004</v>
      </c>
      <c r="G100" s="127">
        <f>7064.27395</f>
        <v>7064.2739499999998</v>
      </c>
      <c r="H100" s="127">
        <f t="shared" si="9"/>
        <v>-311.27394999999979</v>
      </c>
      <c r="I100" s="127">
        <f>5335.22524</f>
        <v>5335.2252399999998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1.83928</f>
        <v>1.83928</v>
      </c>
      <c r="G101" s="132">
        <f>6129.24575</f>
        <v>6129.24575</v>
      </c>
      <c r="H101" s="132">
        <f t="shared" si="9"/>
        <v>1466.75425</v>
      </c>
      <c r="I101" s="132">
        <f>9992.79536</f>
        <v>9992.7953600000001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59.21424</f>
        <v>59.214239999999997</v>
      </c>
      <c r="G102" s="75">
        <f>2774.89333</f>
        <v>2774.8933299999999</v>
      </c>
      <c r="H102" s="75">
        <f t="shared" si="9"/>
        <v>1129.1066700000001</v>
      </c>
      <c r="I102" s="75">
        <f>2395.96335</f>
        <v>2395.96335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0.0294</f>
        <v>2.9399999999999999E-2</v>
      </c>
      <c r="G103" s="98">
        <f>36.55334</f>
        <v>36.553339999999999</v>
      </c>
      <c r="H103" s="98">
        <f t="shared" si="9"/>
        <v>282.44666000000001</v>
      </c>
      <c r="I103" s="98">
        <f>12.36195</f>
        <v>12.36195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0.10626</f>
        <v>0.10625999999999999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0.57856</f>
        <v>0.57855999999999996</v>
      </c>
      <c r="G105" s="98">
        <f>54.39506</f>
        <v>54.395060000000001</v>
      </c>
      <c r="H105" s="139">
        <f>E105-G105</f>
        <v>-4.3950600000000009</v>
      </c>
      <c r="I105" s="98">
        <f>15.39726</f>
        <v>15.397259999999999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5.2474</f>
        <v>5.2473999999999998</v>
      </c>
      <c r="G106" s="139">
        <f>70.5254</f>
        <v>70.525400000000005</v>
      </c>
      <c r="H106" s="139">
        <f t="shared" ref="H106" si="10">E106-G106</f>
        <v>-70.525400000000005</v>
      </c>
      <c r="I106" s="139">
        <f>98.07376</f>
        <v>98.073759999999993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344.13726000000003</v>
      </c>
      <c r="G107" s="76">
        <f t="shared" si="12"/>
        <v>67932.467999999993</v>
      </c>
      <c r="H107" s="76">
        <f t="shared" si="12"/>
        <v>7691.5320000000002</v>
      </c>
      <c r="I107" s="76">
        <f t="shared" si="12"/>
        <v>81749.821280000004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1459.9494</v>
      </c>
      <c r="G128" s="11">
        <f t="shared" si="13"/>
        <v>59413.034890000003</v>
      </c>
      <c r="H128" s="11">
        <f t="shared" si="13"/>
        <v>13213.965109999997</v>
      </c>
      <c r="I128" s="11">
        <f t="shared" si="13"/>
        <v>68229.967049999992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1459.9494</f>
        <v>1459.9494</v>
      </c>
      <c r="G129" s="23">
        <f>53154.94834</f>
        <v>53154.948340000003</v>
      </c>
      <c r="H129" s="23">
        <f>E129-G129</f>
        <v>4699.0516599999974</v>
      </c>
      <c r="I129" s="23">
        <f>58716.7413</f>
        <v>58716.741300000002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0</f>
        <v>0</v>
      </c>
      <c r="G130" s="23">
        <f>6181.5724</f>
        <v>6181.5724</v>
      </c>
      <c r="H130" s="23">
        <f>E130-G130</f>
        <v>8091.4276</v>
      </c>
      <c r="I130" s="23">
        <f>9357.9397</f>
        <v>9357.9397000000008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76.51415</f>
        <v>76.514150000000001</v>
      </c>
      <c r="H131" s="55">
        <f>E131-G131</f>
        <v>423.48585000000003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25.2</f>
        <v>25.2</v>
      </c>
      <c r="G132" s="95">
        <f>16667.9098+7183.0032</f>
        <v>23850.913</v>
      </c>
      <c r="H132" s="95">
        <f>E132-G132</f>
        <v>28632.087</v>
      </c>
      <c r="I132" s="95">
        <f>39012.79018</f>
        <v>39012.790180000004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1622.4932199999998</v>
      </c>
      <c r="G133" s="94">
        <f t="shared" ref="G133" si="14">G134+G139+G142</f>
        <v>65245.234960000002</v>
      </c>
      <c r="H133" s="94">
        <f>H134+H139+H142</f>
        <v>15083.765039999998</v>
      </c>
      <c r="I133" s="94">
        <f>I134+I139+I142</f>
        <v>78327.409149999992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1403.8570099999999</v>
      </c>
      <c r="G134" s="125">
        <f>G135+G136+G138+G137</f>
        <v>49545.055840000001</v>
      </c>
      <c r="H134" s="125">
        <f>H135+H136+H137+H138</f>
        <v>9705.9441600000009</v>
      </c>
      <c r="I134" s="125">
        <f>I135+I136+I137+I138</f>
        <v>62313.239759999997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344.88639</f>
        <v>344.88639000000001</v>
      </c>
      <c r="G135" s="127">
        <v>11420.605439999999</v>
      </c>
      <c r="H135" s="127">
        <f>E135-G135</f>
        <v>6349.3945600000006</v>
      </c>
      <c r="I135" s="127">
        <f>11080.09536</f>
        <v>11080.095359999999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405.07374</f>
        <v>405.07373999999999</v>
      </c>
      <c r="G136" s="127">
        <v>14064.850295</v>
      </c>
      <c r="H136" s="127">
        <f>E136-G136</f>
        <v>870.14970499999981</v>
      </c>
      <c r="I136" s="127">
        <f>16830.65955</f>
        <v>16830.65955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339.07798</f>
        <v>339.07798000000003</v>
      </c>
      <c r="G137" s="127">
        <v>12459.034414999998</v>
      </c>
      <c r="H137" s="127">
        <f>E137-G137</f>
        <v>587.96558500000174</v>
      </c>
      <c r="I137" s="127">
        <f>18621.68596</f>
        <v>18621.685959999999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314.8189</f>
        <v>314.81889999999999</v>
      </c>
      <c r="G138" s="127">
        <v>11600.565690000001</v>
      </c>
      <c r="H138" s="127">
        <f>E138-G138</f>
        <v>1898.4343099999987</v>
      </c>
      <c r="I138" s="127">
        <f>15780.79889</f>
        <v>15780.79889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69.688240000000008</v>
      </c>
      <c r="G139" s="132">
        <f>SUM(G140:G141)</f>
        <v>9055.3055899999999</v>
      </c>
      <c r="H139" s="132">
        <f>H140+H141</f>
        <v>-130.30559000000085</v>
      </c>
      <c r="I139" s="132">
        <f>SUM(I140:I141)</f>
        <v>7708.3854000000001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65.97736</f>
        <v>65.977360000000004</v>
      </c>
      <c r="G140" s="127">
        <f>8595.7077</f>
        <v>8595.7077000000008</v>
      </c>
      <c r="H140" s="127">
        <f t="shared" ref="H140:H148" si="15">E140-G140</f>
        <v>-170.70770000000084</v>
      </c>
      <c r="I140" s="127">
        <f>7428.95734</f>
        <v>7428.9573399999999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3.71088</f>
        <v>3.71088</v>
      </c>
      <c r="G141" s="127">
        <f>459.59789</f>
        <v>459.59789000000001</v>
      </c>
      <c r="H141" s="127">
        <f t="shared" si="15"/>
        <v>40.402109999999993</v>
      </c>
      <c r="I141" s="127">
        <f>279.42806</f>
        <v>279.42806000000002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148.94797</f>
        <v>148.94797</v>
      </c>
      <c r="G142" s="75">
        <f>6644.87353</f>
        <v>6644.8735299999998</v>
      </c>
      <c r="H142" s="75">
        <f t="shared" si="15"/>
        <v>5508.1264700000002</v>
      </c>
      <c r="I142" s="75">
        <f>8305.78399</f>
        <v>8305.7839899999999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0.07425</f>
        <v>7.4249999999999997E-2</v>
      </c>
      <c r="G143" s="139">
        <f>16.4753</f>
        <v>16.475300000000001</v>
      </c>
      <c r="H143" s="139">
        <f t="shared" si="15"/>
        <v>129.5247</v>
      </c>
      <c r="I143" s="139">
        <f>33.72808</f>
        <v>33.728079999999999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1.9233</f>
        <v>1.9233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4.7016</f>
        <v>4.7016</v>
      </c>
      <c r="G147" s="98">
        <f>77.15841</f>
        <v>77.158410000000003</v>
      </c>
      <c r="H147" s="139">
        <f t="shared" si="15"/>
        <v>198.84159</v>
      </c>
      <c r="I147" s="98">
        <f>31.35201</f>
        <v>31.35201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8.38875</f>
        <v>8.3887499999999999</v>
      </c>
      <c r="G148" s="139">
        <f>292.41419</f>
        <v>292.41419000000002</v>
      </c>
      <c r="H148" s="139">
        <f t="shared" si="15"/>
        <v>-292.41419000000002</v>
      </c>
      <c r="I148" s="139">
        <f>608.65163</f>
        <v>608.65162999999995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3122.7305199999996</v>
      </c>
      <c r="G150" s="76">
        <f>G128+G132+G133+G143+G144+G145+G146+G147+G148</f>
        <v>151151.26675000001</v>
      </c>
      <c r="H150" s="76">
        <f>H128+H132+H133+H143+H144+H145+H146+H147+H148</f>
        <v>56959.733249999997</v>
      </c>
      <c r="I150" s="76">
        <f>I128+I132+I133+I143+I144+I145+I146+I147+I148</f>
        <v>188506.4791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128.69735</f>
        <v>128.69735</v>
      </c>
      <c r="F175" s="276">
        <f>1511.08455</f>
        <v>1511.08455</v>
      </c>
      <c r="G175" s="43">
        <f>D175-F175-F176</f>
        <v>1083.13626</v>
      </c>
      <c r="H175" s="276">
        <f>2037.04903</f>
        <v>2037.0490299999999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1628.77919</f>
        <v>1628.77919</v>
      </c>
      <c r="G176" s="217"/>
      <c r="H176" s="152">
        <f>1966.97489</f>
        <v>1966.97489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125.68287</f>
        <v>125.68286999999999</v>
      </c>
      <c r="G177" s="172">
        <f>D177-F177</f>
        <v>74.317130000000006</v>
      </c>
      <c r="H177" s="172">
        <f>76.69742</f>
        <v>76.697419999999994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1.33693</v>
      </c>
      <c r="F178" s="181">
        <f>F179+F180+F181</f>
        <v>5987.07762</v>
      </c>
      <c r="G178" s="181">
        <f>D178-F178</f>
        <v>346.92237999999998</v>
      </c>
      <c r="H178" s="181">
        <f>H179+H180+H181</f>
        <v>8184.4768299999996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0.26719</f>
        <v>0.26718999999999998</v>
      </c>
      <c r="F179" s="127">
        <f>3092.5977</f>
        <v>3092.5976999999998</v>
      </c>
      <c r="G179" s="127"/>
      <c r="H179" s="127">
        <f>4193.50981</f>
        <v>4193.5098099999996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0.15224</f>
        <v>0.15223999999999999</v>
      </c>
      <c r="F180" s="127">
        <f>1830.94775</f>
        <v>1830.94775</v>
      </c>
      <c r="G180" s="127"/>
      <c r="H180" s="127">
        <f>2528.09667</f>
        <v>2528.0966699999999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0.9175</f>
        <v>0.91749999999999998</v>
      </c>
      <c r="F181" s="192">
        <f>1063.53217</f>
        <v>1063.53217</v>
      </c>
      <c r="G181" s="192"/>
      <c r="H181" s="192">
        <f>1462.87035</f>
        <v>1462.8703499999999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130.03428</v>
      </c>
      <c r="F184" s="194">
        <f>F175+F176+F177+F178+F182+F183</f>
        <v>9252.6242299999994</v>
      </c>
      <c r="G184" s="194">
        <f>D184-F184</f>
        <v>1570.3757700000006</v>
      </c>
      <c r="H184" s="194">
        <f>H175+H176+H177+H178+H182+H183</f>
        <v>12265.19817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125.76313</f>
        <v>125.76313</v>
      </c>
      <c r="F204" s="124">
        <f>43493.13791</f>
        <v>43493.137909999998</v>
      </c>
      <c r="G204" s="124">
        <f>D204-F204</f>
        <v>2788.8620900000024</v>
      </c>
      <c r="H204" s="124">
        <f>41935.64786</f>
        <v>41935.647859999997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1.47991</f>
        <v>1.4799100000000001</v>
      </c>
      <c r="F205" s="124">
        <f>44.2521</f>
        <v>44.252099999999999</v>
      </c>
      <c r="G205" s="124">
        <f>D205-F205</f>
        <v>55.747900000000001</v>
      </c>
      <c r="H205" s="124">
        <f>71.17757</f>
        <v>71.177570000000003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127.24304000000001</v>
      </c>
      <c r="F207" s="190">
        <f>SUM(F204:F206)</f>
        <v>43537.390009999996</v>
      </c>
      <c r="G207" s="190">
        <f>D207-F207</f>
        <v>2880.6099900000045</v>
      </c>
      <c r="H207" s="190">
        <f>SUM(H204:H206)</f>
        <v>42006.825429999997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11.857759999999999</v>
      </c>
      <c r="F249" s="75">
        <f>F250+F251</f>
        <v>4324.5533000000005</v>
      </c>
      <c r="G249" s="75">
        <f>D249-F249</f>
        <v>-337.55330000000049</v>
      </c>
      <c r="H249" s="75">
        <f>H250+H251</f>
        <v>4335.4693399999996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6.12976</f>
        <v>6.1297600000000001</v>
      </c>
      <c r="F250" s="75">
        <f>3664.58289</f>
        <v>3664.5828900000001</v>
      </c>
      <c r="G250" s="75"/>
      <c r="H250" s="75">
        <f>3631.55089</f>
        <v>3631.55089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5.728</f>
        <v>5.7279999999999998</v>
      </c>
      <c r="F251" s="124">
        <f>659.97041</f>
        <v>659.97041000000002</v>
      </c>
      <c r="G251" s="168"/>
      <c r="H251" s="124">
        <f>703.91845</f>
        <v>703.91845000000001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44.71656</f>
        <v>44.716560000000001</v>
      </c>
      <c r="F252" s="75">
        <f>5508.98284</f>
        <v>5508.9828399999997</v>
      </c>
      <c r="G252" s="75">
        <f>D252-F252</f>
        <v>-895.98283999999967</v>
      </c>
      <c r="H252" s="75">
        <f>5628.52862</f>
        <v>5628.52862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56.57432</v>
      </c>
      <c r="F253" s="190">
        <f>SUM(F249,F252)</f>
        <v>9833.5361400000002</v>
      </c>
      <c r="G253" s="190">
        <f>D253-F253</f>
        <v>-1233.5361400000002</v>
      </c>
      <c r="H253" s="190">
        <f>SUM(H249,H252)</f>
        <v>9963.9979600000006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10.15818</v>
      </c>
      <c r="F295" s="75">
        <f>F296+F297</f>
        <v>5427.4394700000003</v>
      </c>
      <c r="G295" s="75">
        <f>D295-F295</f>
        <v>-337.43947000000026</v>
      </c>
      <c r="H295" s="75">
        <f>H296+H297</f>
        <v>6085.7432200000003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1.32325</f>
        <v>1.32325</v>
      </c>
      <c r="F296" s="75">
        <f>4867.28203</f>
        <v>4867.2820300000003</v>
      </c>
      <c r="G296" s="75"/>
      <c r="H296" s="75">
        <f>5563.48304</f>
        <v>5563.4830400000001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8.83493</f>
        <v>8.8349299999999999</v>
      </c>
      <c r="F297" s="124">
        <f>560.15744</f>
        <v>560.15743999999995</v>
      </c>
      <c r="G297" s="168"/>
      <c r="H297" s="124">
        <f>522.26018</f>
        <v>522.26017999999999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110.3705</f>
        <v>110.37050000000001</v>
      </c>
      <c r="F298" s="75">
        <f>3262.57635</f>
        <v>3262.5763499999998</v>
      </c>
      <c r="G298" s="75">
        <f>D298-F298</f>
        <v>-281.57634999999982</v>
      </c>
      <c r="H298" s="75">
        <f>4075.64188</f>
        <v>4075.6418800000001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120.52868000000001</v>
      </c>
      <c r="F299" s="190">
        <f>SUM(F295,F298)</f>
        <v>8690.0158200000005</v>
      </c>
      <c r="G299" s="190">
        <f>D299-F299</f>
        <v>-619.01582000000053</v>
      </c>
      <c r="H299" s="190">
        <f>SUM(H295,H298)</f>
        <v>10161.3851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1.40402</f>
        <v>1.40402</v>
      </c>
      <c r="F350" s="124">
        <f>663.3702</f>
        <v>663.37019999999995</v>
      </c>
      <c r="G350" s="124">
        <f>D350-F350</f>
        <v>136.62980000000005</v>
      </c>
      <c r="H350" s="124">
        <f>589.57648</f>
        <v>589.57647999999995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40.20034</f>
        <v>40.200339999999997</v>
      </c>
      <c r="F351" s="124">
        <f>2540.10532</f>
        <v>2540.1053200000001</v>
      </c>
      <c r="G351" s="124">
        <f>D351-F351</f>
        <v>500.89467999999988</v>
      </c>
      <c r="H351" s="124">
        <f>2797.36437</f>
        <v>2797.3643699999998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2.07758</f>
        <v>2.0775800000000002</v>
      </c>
      <c r="G353" s="124">
        <f>D353-F353</f>
        <v>-2.0775800000000002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41.60436</v>
      </c>
      <c r="F354" s="190">
        <f>SUM(F350:F353)</f>
        <v>3209.3397199999999</v>
      </c>
      <c r="G354" s="190">
        <f>D354-F354</f>
        <v>641.66028000000006</v>
      </c>
      <c r="H354" s="190">
        <f>H350+H351+H352+H353</f>
        <v>3391.4948199999999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9.1663199999999989</v>
      </c>
      <c r="G380" s="253">
        <f t="shared" si="17"/>
        <v>20157.004560000001</v>
      </c>
      <c r="H380" s="253">
        <f>H384+H383+H382+H381</f>
        <v>2811.9954400000006</v>
      </c>
      <c r="I380" s="253">
        <f t="shared" si="17"/>
        <v>17142.356589999999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13099.09248</f>
        <v>13099.092479999999</v>
      </c>
      <c r="H381" s="257">
        <f t="shared" ref="H381:H385" si="18">E381-G381</f>
        <v>90.907520000000659</v>
      </c>
      <c r="I381" s="257">
        <f>10052.61508</f>
        <v>10052.61508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2382.55392</f>
        <v>2382.5539199999998</v>
      </c>
      <c r="H382" s="257">
        <f t="shared" si="18"/>
        <v>1050.4460800000002</v>
      </c>
      <c r="I382" s="257">
        <f>1811.41785</f>
        <v>1811.41785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8.15532</f>
        <v>8.1553199999999997</v>
      </c>
      <c r="G383" s="257">
        <f>2134.22985</f>
        <v>2134.2298500000002</v>
      </c>
      <c r="H383" s="257">
        <f t="shared" si="18"/>
        <v>-651.22985000000017</v>
      </c>
      <c r="I383" s="257">
        <f>2093.97876</f>
        <v>2093.97876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1.011</f>
        <v>1.0109999999999999</v>
      </c>
      <c r="G384" s="257">
        <f>2541.12831</f>
        <v>2541.1283100000001</v>
      </c>
      <c r="H384" s="257">
        <f t="shared" si="18"/>
        <v>2321.8716899999999</v>
      </c>
      <c r="I384" s="257">
        <f>3184.3449</f>
        <v>3184.3449000000001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0.177</f>
        <v>0.17699999999999999</v>
      </c>
      <c r="G385" s="268">
        <f>2272.83678</f>
        <v>2272.8367800000001</v>
      </c>
      <c r="H385" s="268">
        <f t="shared" si="18"/>
        <v>3227.1632199999999</v>
      </c>
      <c r="I385" s="268">
        <f>5113.83428</f>
        <v>5113.83428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97.011470000000003</v>
      </c>
      <c r="G386" s="269">
        <f>G388+G387</f>
        <v>4141.0971800000007</v>
      </c>
      <c r="H386" s="269">
        <f>E386-G386</f>
        <v>3858.9028199999993</v>
      </c>
      <c r="I386" s="269">
        <f>I388+I387</f>
        <v>4770.8338300000005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1065.53427</f>
        <v>1065.5342700000001</v>
      </c>
      <c r="H387" s="257"/>
      <c r="I387" s="257">
        <f>863.37623</f>
        <v>863.37622999999996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97.01147</f>
        <v>97.011470000000003</v>
      </c>
      <c r="G388" s="278">
        <f>3075.56291</f>
        <v>3075.5629100000001</v>
      </c>
      <c r="H388" s="278"/>
      <c r="I388" s="278">
        <f>3907.4576</f>
        <v>3907.4576000000002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7.7598</f>
        <v>7.7598000000000003</v>
      </c>
      <c r="G390" s="268">
        <f>131.87457</f>
        <v>131.87457000000001</v>
      </c>
      <c r="H390" s="268">
        <f>E390-G390</f>
        <v>-131.87457000000001</v>
      </c>
      <c r="I390" s="268">
        <f>124.47361</f>
        <v>124.47360999999999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114.11459000000001</v>
      </c>
      <c r="G391" s="287">
        <f t="shared" si="19"/>
        <v>26702.969590000004</v>
      </c>
      <c r="H391" s="287">
        <f>H380+H385+H386+H389+H390</f>
        <v>9779.0304100000012</v>
      </c>
      <c r="I391" s="287">
        <f t="shared" si="19"/>
        <v>27152.246810000001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1023.97988</v>
      </c>
      <c r="G413" s="85">
        <f>D413-F413</f>
        <v>-129.97987999999998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779.75108</f>
        <v>779.75108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244.2288</f>
        <v>244.22880000000001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57.5062</v>
      </c>
      <c r="F416" s="26">
        <f>SUM(F417:F418)</f>
        <v>203.57259999999999</v>
      </c>
      <c r="G416" s="85">
        <f>D416-F416</f>
        <v>690.42740000000003</v>
      </c>
      <c r="H416" s="26">
        <f>SUM(H417:H418)</f>
        <v>211.71549999999999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43.2935</f>
        <v>43.293500000000002</v>
      </c>
      <c r="F417" s="30">
        <f>143.4645</f>
        <v>143.46449999999999</v>
      </c>
      <c r="G417" s="97"/>
      <c r="H417" s="30">
        <f>151.5015</f>
        <v>151.50149999999999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14.2127</f>
        <v>14.2127</v>
      </c>
      <c r="F418" s="30">
        <f>60.1081</f>
        <v>60.1081</v>
      </c>
      <c r="G418" s="108"/>
      <c r="H418" s="30">
        <f>60.214</f>
        <v>60.213999999999999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57.5062</v>
      </c>
      <c r="F423" s="40">
        <f>F413+F416+F419+F422</f>
        <v>1227.5524800000001</v>
      </c>
      <c r="G423" s="41">
        <f>D423-F423</f>
        <v>1453.4475199999999</v>
      </c>
      <c r="H423" s="40">
        <f>H413+H416+H419+H422</f>
        <v>1200.11673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47&amp;R25.11.2024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2024-11-25T09:43:30Z</dcterms:modified>
</cp:coreProperties>
</file>