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07AE6A17-4B19-4AD2-81A4-CAFB6454C9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E273" i="1"/>
  <c r="D273" i="1"/>
  <c r="I272" i="1"/>
  <c r="G272" i="1"/>
  <c r="H272" i="1" s="1"/>
  <c r="F272" i="1"/>
  <c r="I271" i="1"/>
  <c r="G271" i="1"/>
  <c r="H271" i="1" s="1"/>
  <c r="F271" i="1"/>
  <c r="I270" i="1"/>
  <c r="G270" i="1"/>
  <c r="F270" i="1"/>
  <c r="F268" i="1" s="1"/>
  <c r="I269" i="1"/>
  <c r="G269" i="1"/>
  <c r="F269" i="1"/>
  <c r="I268" i="1"/>
  <c r="H268" i="1"/>
  <c r="G268" i="1"/>
  <c r="I267" i="1"/>
  <c r="G267" i="1"/>
  <c r="H267" i="1" s="1"/>
  <c r="F267" i="1"/>
  <c r="I266" i="1"/>
  <c r="H266" i="1"/>
  <c r="G266" i="1"/>
  <c r="F266" i="1"/>
  <c r="I265" i="1"/>
  <c r="G265" i="1"/>
  <c r="H265" i="1" s="1"/>
  <c r="H262" i="1" s="1"/>
  <c r="H273" i="1" s="1"/>
  <c r="F265" i="1"/>
  <c r="F262" i="1" s="1"/>
  <c r="F273" i="1" s="1"/>
  <c r="I264" i="1"/>
  <c r="I262" i="1" s="1"/>
  <c r="I273" i="1" s="1"/>
  <c r="H264" i="1"/>
  <c r="G264" i="1"/>
  <c r="F264" i="1"/>
  <c r="I263" i="1"/>
  <c r="G263" i="1"/>
  <c r="H263" i="1" s="1"/>
  <c r="F263" i="1"/>
  <c r="G262" i="1"/>
  <c r="G273" i="1" s="1"/>
  <c r="E262" i="1"/>
  <c r="D262" i="1"/>
  <c r="H254" i="1"/>
  <c r="F254" i="1"/>
  <c r="D251" i="1"/>
  <c r="D250" i="1"/>
  <c r="D241" i="1"/>
  <c r="H240" i="1"/>
  <c r="F240" i="1"/>
  <c r="G240" i="1" s="1"/>
  <c r="E240" i="1"/>
  <c r="H239" i="1"/>
  <c r="G239" i="1"/>
  <c r="F239" i="1"/>
  <c r="E239" i="1"/>
  <c r="H238" i="1"/>
  <c r="H241" i="1" s="1"/>
  <c r="F238" i="1"/>
  <c r="F241" i="1" s="1"/>
  <c r="G241" i="1" s="1"/>
  <c r="E238" i="1"/>
  <c r="H237" i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E217" i="1"/>
  <c r="H216" i="1"/>
  <c r="H215" i="1" s="1"/>
  <c r="H219" i="1" s="1"/>
  <c r="F216" i="1"/>
  <c r="E216" i="1"/>
  <c r="F215" i="1"/>
  <c r="F219" i="1" s="1"/>
  <c r="G219" i="1" s="1"/>
  <c r="E215" i="1"/>
  <c r="E219" i="1" s="1"/>
  <c r="D206" i="1"/>
  <c r="H205" i="1"/>
  <c r="G205" i="1"/>
  <c r="F205" i="1"/>
  <c r="E205" i="1"/>
  <c r="H204" i="1"/>
  <c r="F204" i="1"/>
  <c r="E204" i="1"/>
  <c r="H203" i="1"/>
  <c r="H202" i="1" s="1"/>
  <c r="H206" i="1" s="1"/>
  <c r="F203" i="1"/>
  <c r="F202" i="1" s="1"/>
  <c r="E203" i="1"/>
  <c r="E202" i="1" s="1"/>
  <c r="E206" i="1" s="1"/>
  <c r="G192" i="1"/>
  <c r="H192" i="1" s="1"/>
  <c r="F192" i="1"/>
  <c r="E192" i="1"/>
  <c r="D192" i="1"/>
  <c r="I191" i="1"/>
  <c r="H191" i="1"/>
  <c r="G191" i="1"/>
  <c r="F191" i="1"/>
  <c r="I190" i="1"/>
  <c r="H190" i="1"/>
  <c r="G190" i="1"/>
  <c r="F190" i="1"/>
  <c r="I189" i="1"/>
  <c r="I192" i="1" s="1"/>
  <c r="H189" i="1"/>
  <c r="G189" i="1"/>
  <c r="F189" i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F163" i="1" s="1"/>
  <c r="G163" i="1" s="1"/>
  <c r="E165" i="1"/>
  <c r="H164" i="1"/>
  <c r="H163" i="1" s="1"/>
  <c r="F164" i="1"/>
  <c r="E164" i="1"/>
  <c r="E163" i="1"/>
  <c r="H162" i="1"/>
  <c r="F162" i="1"/>
  <c r="G162" i="1" s="1"/>
  <c r="E162" i="1"/>
  <c r="H161" i="1"/>
  <c r="F161" i="1"/>
  <c r="E161" i="1"/>
  <c r="H160" i="1"/>
  <c r="H169" i="1" s="1"/>
  <c r="F160" i="1"/>
  <c r="E160" i="1"/>
  <c r="E169" i="1" s="1"/>
  <c r="I135" i="1"/>
  <c r="H135" i="1"/>
  <c r="G135" i="1"/>
  <c r="F135" i="1"/>
  <c r="I134" i="1"/>
  <c r="G134" i="1"/>
  <c r="H134" i="1" s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I126" i="1" s="1"/>
  <c r="I120" i="1" s="1"/>
  <c r="H127" i="1"/>
  <c r="H126" i="1" s="1"/>
  <c r="G127" i="1"/>
  <c r="G126" i="1" s="1"/>
  <c r="F127" i="1"/>
  <c r="F126" i="1"/>
  <c r="E126" i="1"/>
  <c r="E120" i="1" s="1"/>
  <c r="E137" i="1" s="1"/>
  <c r="D126" i="1"/>
  <c r="I125" i="1"/>
  <c r="G125" i="1"/>
  <c r="H125" i="1" s="1"/>
  <c r="F125" i="1"/>
  <c r="I124" i="1"/>
  <c r="G124" i="1"/>
  <c r="H124" i="1" s="1"/>
  <c r="F124" i="1"/>
  <c r="I123" i="1"/>
  <c r="G123" i="1"/>
  <c r="H123" i="1" s="1"/>
  <c r="F123" i="1"/>
  <c r="I122" i="1"/>
  <c r="G122" i="1"/>
  <c r="H122" i="1" s="1"/>
  <c r="H121" i="1" s="1"/>
  <c r="H120" i="1" s="1"/>
  <c r="F122" i="1"/>
  <c r="F121" i="1" s="1"/>
  <c r="F120" i="1" s="1"/>
  <c r="I121" i="1"/>
  <c r="E121" i="1"/>
  <c r="D121" i="1"/>
  <c r="D120" i="1" s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F115" i="1" s="1"/>
  <c r="I116" i="1"/>
  <c r="I115" i="1" s="1"/>
  <c r="G116" i="1"/>
  <c r="H116" i="1" s="1"/>
  <c r="F116" i="1"/>
  <c r="E115" i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I83" i="1" s="1"/>
  <c r="I82" i="1" s="1"/>
  <c r="G84" i="1"/>
  <c r="G83" i="1" s="1"/>
  <c r="G82" i="1" s="1"/>
  <c r="F84" i="1"/>
  <c r="F83" i="1" s="1"/>
  <c r="F82" i="1" s="1"/>
  <c r="F94" i="1" s="1"/>
  <c r="E83" i="1"/>
  <c r="E82" i="1" s="1"/>
  <c r="E94" i="1" s="1"/>
  <c r="D83" i="1"/>
  <c r="D82" i="1" s="1"/>
  <c r="I81" i="1"/>
  <c r="G81" i="1"/>
  <c r="H81" i="1" s="1"/>
  <c r="H79" i="1" s="1"/>
  <c r="F81" i="1"/>
  <c r="I80" i="1"/>
  <c r="H80" i="1"/>
  <c r="G80" i="1"/>
  <c r="F80" i="1"/>
  <c r="I79" i="1"/>
  <c r="I94" i="1" s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F33" i="1" s="1"/>
  <c r="I34" i="1"/>
  <c r="I33" i="1" s="1"/>
  <c r="H34" i="1"/>
  <c r="G34" i="1"/>
  <c r="F34" i="1"/>
  <c r="G33" i="1"/>
  <c r="E33" i="1"/>
  <c r="H33" i="1" s="1"/>
  <c r="D33" i="1"/>
  <c r="I32" i="1"/>
  <c r="H32" i="1"/>
  <c r="G32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E26" i="1"/>
  <c r="E25" i="1" s="1"/>
  <c r="D26" i="1"/>
  <c r="D25" i="1" s="1"/>
  <c r="I24" i="1"/>
  <c r="G24" i="1"/>
  <c r="H24" i="1" s="1"/>
  <c r="H22" i="1" s="1"/>
  <c r="F24" i="1"/>
  <c r="I23" i="1"/>
  <c r="H23" i="1"/>
  <c r="G23" i="1"/>
  <c r="F23" i="1"/>
  <c r="I22" i="1"/>
  <c r="G22" i="1"/>
  <c r="F22" i="1"/>
  <c r="E22" i="1"/>
  <c r="E42" i="1" s="1"/>
  <c r="D22" i="1"/>
  <c r="D42" i="1" s="1"/>
  <c r="H16" i="1"/>
  <c r="F16" i="1"/>
  <c r="D16" i="1"/>
  <c r="I26" i="1" l="1"/>
  <c r="I25" i="1" s="1"/>
  <c r="I42" i="1" s="1"/>
  <c r="F26" i="1"/>
  <c r="F25" i="1" s="1"/>
  <c r="F42" i="1" s="1"/>
  <c r="H115" i="1"/>
  <c r="H137" i="1" s="1"/>
  <c r="I137" i="1"/>
  <c r="F169" i="1"/>
  <c r="G169" i="1" s="1"/>
  <c r="F206" i="1"/>
  <c r="G206" i="1" s="1"/>
  <c r="G202" i="1"/>
  <c r="F304" i="1"/>
  <c r="G304" i="1" s="1"/>
  <c r="G294" i="1"/>
  <c r="D94" i="1"/>
  <c r="F137" i="1"/>
  <c r="G25" i="1"/>
  <c r="G42" i="1" s="1"/>
  <c r="D137" i="1"/>
  <c r="G79" i="1"/>
  <c r="G94" i="1" s="1"/>
  <c r="H27" i="1"/>
  <c r="H26" i="1" s="1"/>
  <c r="H25" i="1" s="1"/>
  <c r="H42" i="1" s="1"/>
  <c r="H84" i="1"/>
  <c r="H83" i="1" s="1"/>
  <c r="H82" i="1" s="1"/>
  <c r="H94" i="1" s="1"/>
  <c r="G115" i="1"/>
  <c r="G137" i="1" s="1"/>
  <c r="G215" i="1"/>
  <c r="G238" i="1"/>
  <c r="G121" i="1"/>
  <c r="G120" i="1" s="1"/>
  <c r="G160" i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<sst xmlns="http://schemas.openxmlformats.org/spreadsheetml/2006/main" count="351" uniqueCount="154">
  <si>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</si>
  <si>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</si>
  <si>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</si>
  <si>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</si>
  <si>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</si>
  <si>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</si>
  <si>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</si>
  <si>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</si>
  <si>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</si>
  <si>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</si>
  <si>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</si>
  <si>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</si>
  <si>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</si>
  <si>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</si>
  <si>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</si>
  <si>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</si>
  <si>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</si>
  <si>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</si>
  <si>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</si>
  <si>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</si>
  <si>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</si>
  <si>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</si>
  <si>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</si>
  <si>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</si>
  <si>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</si>
  <si>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</si>
  <si>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</si>
  <si>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</si>
  <si>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</si>
  <si>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</si>
  <si>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</si>
  <si>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</si>
  <si>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</si>
  <si>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</si>
  <si>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</si>
  <si>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</si>
  <si>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</si>
  <si>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</si>
  <si>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</si>
  <si>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</si>
  <si>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</si>
  <si>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</si>
  <si>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</si>
  <si>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</si>
  <si>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</si>
  <si>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</si>
  <si>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</si>
  <si>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</si>
  <si>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</si>
  <si>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</si>
  <si>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</si>
  <si>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</si>
  <si>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</si>
  <si>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</si>
  <si>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</si>
  <si>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</si>
  <si>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</si>
  <si>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</si>
  <si>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</si>
  <si>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</si>
  <si>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</si>
  <si>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</si>
  <si>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</si>
  <si>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</si>
  <si>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</si>
  <si>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</si>
  <si>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</si>
  <si>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</si>
  <si>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</si>
  <si>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</si>
  <si>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</si>
  <si>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</si>
  <si>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</si>
  <si>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</si>
  <si>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</si>
  <si>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</si>
  <si>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</si>
  <si>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</si>
  <si>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</si>
  <si>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</si>
  <si>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</si>
  <si>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</si>
  <si>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</si>
  <si>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</si>
  <si>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</si>
  <si>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</si>
  <si>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</si>
  <si>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</si>
  <si>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</si>
  <si>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</si>
  <si>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</si>
  <si>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</si>
  <si>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</si>
  <si>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</si>
  <si>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</si>
  <si>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</si>
  <si>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</si>
  <si>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</si>
  <si>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</si>
  <si>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</si>
  <si>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</si>
  <si>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</si>
  <si>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</si>
  <si>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</si>
  <si>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</si>
  <si>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</si>
  <si>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</si>
  <si>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</si>
  <si>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</si>
  <si>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</si>
  <si>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</si>
  <si>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</si>
  <si>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</si>
  <si>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</si>
  <si>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</si>
  <si>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</si>
  <si>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</si>
  <si>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</si>
  <si>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</si>
  <si>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</si>
  <si>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</si>
  <si>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</si>
  <si>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</si>
  <si>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</si>
  <si>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</si>
  <si>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</si>
  <si>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</si>
  <si>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</si>
  <si>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</si>
  <si>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</si>
  <si>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</si>
  <si>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</si>
  <si>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</si>
  <si>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</si>
  <si>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</si>
  <si>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</si>
  <si>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</si>
  <si>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</si>
  <si>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</si>
  <si>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</si>
  <si>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</si>
  <si>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</si>
  <si>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</si>
  <si>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</si>
  <si>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</si>
  <si>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34 tonn, men det legges til grunn at hele avsetningen tas</t>
  </si>
  <si>
    <t>4 Registrert rekreasjonsfiske utgjør 110 tonn, men det legges til grunn at hele avsetningen tas</t>
  </si>
  <si>
    <t>3 Registrert rekreasjonsfiske utgjør 455 tonn, men det legges til grunn at hele avsetningen tas</t>
  </si>
  <si>
    <t>FANGST UKE 18</t>
  </si>
  <si>
    <t>FANGST T.O.M UKE 18</t>
  </si>
  <si>
    <t>RESTKVOTER UKE 18</t>
  </si>
  <si>
    <t>FANGST T.O.M UKE 18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</si>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</sst>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126" zoomScale="101" zoomScaleNormal="55" zoomScaleSheetLayoutView="100" zoomScalePageLayoutView="85" workbookViewId="0">
      <selection activeCell="G140" sqref="G140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3"/>
      <c r="J11" s="245"/>
    </row>
    <row r="12" spans="1:10" ht="14.15" customHeight="1" x14ac:dyDescent="0.3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3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3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3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5" customHeight="1" x14ac:dyDescent="0.3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35">
      <c r="A17" s="101"/>
      <c r="B17" s="24"/>
      <c r="C17" s="301" t="s">
        <v>143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3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3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3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148</v>
      </c>
      <c r="G21" s="68" t="s">
        <v>149</v>
      </c>
      <c r="H21" s="68" t="s">
        <v>150</v>
      </c>
      <c r="I21" s="68" t="s">
        <v>151</v>
      </c>
      <c r="J21" s="279"/>
    </row>
    <row r="22" spans="1:10" ht="14.15" customHeight="1" x14ac:dyDescent="0.3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120.741</v>
      </c>
      <c r="G22" s="27">
        <f t="shared" si="0"/>
        <v>17234.549039999998</v>
      </c>
      <c r="H22" s="10">
        <f t="shared" si="0"/>
        <v>24351.450960000002</v>
      </c>
      <c r="I22" s="10">
        <f t="shared" si="0"/>
        <v>34969.257740000001</v>
      </c>
      <c r="J22" s="245"/>
    </row>
    <row r="23" spans="1:10" ht="14.15" customHeight="1" x14ac:dyDescent="0.35">
      <c r="A23" s="1"/>
      <c r="B23" s="255"/>
      <c r="C23" s="43" t="s">
        <v>20</v>
      </c>
      <c r="D23" s="44">
        <v>38040</v>
      </c>
      <c r="E23" s="44">
        <v>40823</v>
      </c>
      <c r="F23" s="22">
        <f>120.741</f>
        <v>120.741</v>
      </c>
      <c r="G23" s="22">
        <f>17001.61554</f>
        <v>17001.615539999999</v>
      </c>
      <c r="H23" s="22">
        <f>E23-G23</f>
        <v>23821.384460000001</v>
      </c>
      <c r="I23" s="22">
        <f>34569.80516</f>
        <v>34569.805160000004</v>
      </c>
      <c r="J23" s="245"/>
    </row>
    <row r="24" spans="1:10" ht="14.15" customHeight="1" x14ac:dyDescent="0.35">
      <c r="A24" s="1"/>
      <c r="B24" s="255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232.9335</f>
        <v>232.93350000000001</v>
      </c>
      <c r="H24" s="22">
        <f>E24-G24</f>
        <v>530.06650000000002</v>
      </c>
      <c r="I24" s="22">
        <f>399.45258</f>
        <v>399.45258000000001</v>
      </c>
      <c r="J24" s="245"/>
    </row>
    <row r="25" spans="1:10" ht="14.15" customHeight="1" x14ac:dyDescent="0.3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1241.3620599999999</v>
      </c>
      <c r="G25" s="10">
        <f t="shared" si="1"/>
        <v>90502.950129999983</v>
      </c>
      <c r="H25" s="10">
        <f t="shared" si="1"/>
        <v>31165.049869999999</v>
      </c>
      <c r="I25" s="10">
        <f t="shared" si="1"/>
        <v>109733.59458999999</v>
      </c>
      <c r="J25" s="245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634.80705999999998</v>
      </c>
      <c r="G26" s="129">
        <f>G27+G28+G29+G30+G31</f>
        <v>72755.87711999999</v>
      </c>
      <c r="H26" s="129">
        <f t="shared" ref="H26:I26" si="2">H27+H28+H29+H30+H31</f>
        <v>22137.122879999999</v>
      </c>
      <c r="I26" s="129">
        <f t="shared" si="2"/>
        <v>89260.764779999998</v>
      </c>
      <c r="J26" s="245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324.58803 - F55</f>
        <v>324.58803</v>
      </c>
      <c r="G27" s="123">
        <f>21370.72433 - G55</f>
        <v>21370.724330000001</v>
      </c>
      <c r="H27" s="123">
        <f t="shared" ref="H27:H39" si="3">E27-G27</f>
        <v>3782.2756699999991</v>
      </c>
      <c r="I27" s="123">
        <f>24641.15518 - I55</f>
        <v>24641.155180000002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141.04089 - F56</f>
        <v>141.04088999999999</v>
      </c>
      <c r="G28" s="123">
        <f>21008.52437 - G56</f>
        <v>21008.524369999999</v>
      </c>
      <c r="H28" s="123">
        <f t="shared" si="3"/>
        <v>2985.4756300000008</v>
      </c>
      <c r="I28" s="123">
        <f>25858.00842 - I56</f>
        <v>25858.008419999998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153.03004 - F57</f>
        <v>153.03004000000001</v>
      </c>
      <c r="G29" s="123">
        <f>18903.36747 - G57</f>
        <v>18903.367470000001</v>
      </c>
      <c r="H29" s="123">
        <f t="shared" si="3"/>
        <v>2966.632529999999</v>
      </c>
      <c r="I29" s="123">
        <f>23618.32393 - I57</f>
        <v>23618.323929999999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96.1481 - F58</f>
        <v>16.148099999999999</v>
      </c>
      <c r="G30" s="123">
        <f>12969.26095 - G58</f>
        <v>11473.26095</v>
      </c>
      <c r="H30" s="123">
        <f t="shared" si="3"/>
        <v>4171.7390500000001</v>
      </c>
      <c r="I30" s="123">
        <f>17422.27725 - I58</f>
        <v>15143.277249999999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300.29911</f>
        <v>300.29910999999998</v>
      </c>
      <c r="G32" s="129">
        <f>6463.82529</f>
        <v>6463.8252899999998</v>
      </c>
      <c r="H32" s="129">
        <f t="shared" si="3"/>
        <v>7215.1747100000002</v>
      </c>
      <c r="I32" s="129">
        <f>7630.70609</f>
        <v>7630.7060899999997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306.25589000000002</v>
      </c>
      <c r="G33" s="129">
        <f>G34+G35</f>
        <v>11283.247719999999</v>
      </c>
      <c r="H33" s="129">
        <f t="shared" si="3"/>
        <v>1812.7522800000006</v>
      </c>
      <c r="I33" s="129">
        <f>I34+I35</f>
        <v>12842.12372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306.25589 - F59 - F60</f>
        <v>306.25589000000002</v>
      </c>
      <c r="G34" s="129">
        <f>11283.24772 - G59 - G60</f>
        <v>11283.247719999999</v>
      </c>
      <c r="H34" s="123">
        <f t="shared" si="3"/>
        <v>852.75228000000061</v>
      </c>
      <c r="I34" s="123">
        <f>12842.12372 - I59 - I60</f>
        <v>12842.12372</v>
      </c>
      <c r="J34" s="63"/>
    </row>
    <row r="35" spans="1:10" ht="14.15" customHeight="1" x14ac:dyDescent="0.3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55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99.3706</f>
        <v>99.370599999999996</v>
      </c>
      <c r="H36" s="136">
        <f t="shared" si="3"/>
        <v>900.62940000000003</v>
      </c>
      <c r="I36" s="136">
        <f>344.7692</f>
        <v>344.76920000000001</v>
      </c>
      <c r="J36" s="245"/>
    </row>
    <row r="37" spans="1:10" ht="14.15" customHeight="1" x14ac:dyDescent="0.35">
      <c r="A37" s="1"/>
      <c r="B37" s="255"/>
      <c r="C37" s="70" t="s">
        <v>34</v>
      </c>
      <c r="D37" s="140">
        <v>855</v>
      </c>
      <c r="E37" s="140">
        <v>855</v>
      </c>
      <c r="F37" s="95">
        <f>2.55024</f>
        <v>2.5502400000000001</v>
      </c>
      <c r="G37" s="95">
        <f>524.41547</f>
        <v>524.41547000000003</v>
      </c>
      <c r="H37" s="95">
        <f t="shared" si="3"/>
        <v>330.58452999999997</v>
      </c>
      <c r="I37" s="95">
        <f>440.41771</f>
        <v>440.41771</v>
      </c>
      <c r="J37" s="245"/>
    </row>
    <row r="38" spans="1:10" ht="17.25" customHeight="1" x14ac:dyDescent="0.3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80</v>
      </c>
      <c r="G38" s="95">
        <f>G58</f>
        <v>1496</v>
      </c>
      <c r="H38" s="95">
        <f t="shared" si="3"/>
        <v>1504</v>
      </c>
      <c r="I38" s="95">
        <f>I58</f>
        <v>2279</v>
      </c>
      <c r="J38" s="245"/>
    </row>
    <row r="39" spans="1:10" ht="17.25" customHeight="1" x14ac:dyDescent="0.35">
      <c r="A39" s="1"/>
      <c r="B39" s="255"/>
      <c r="C39" s="70" t="s">
        <v>36</v>
      </c>
      <c r="D39" s="140">
        <v>7000</v>
      </c>
      <c r="E39" s="140">
        <v>7000</v>
      </c>
      <c r="F39" s="95">
        <f>14.7465</f>
        <v>14.746499999999999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35">
      <c r="A40" s="1"/>
      <c r="B40" s="255"/>
      <c r="C40" s="70" t="s">
        <v>38</v>
      </c>
      <c r="D40" s="140">
        <v>450</v>
      </c>
      <c r="E40" s="140">
        <v>450</v>
      </c>
      <c r="F40" s="95">
        <f>17.14017</f>
        <v>17.140170000000001</v>
      </c>
      <c r="G40" s="95">
        <f>329.99211</f>
        <v>329.99211000000003</v>
      </c>
      <c r="H40" s="95">
        <f>E40-G40</f>
        <v>120.00788999999997</v>
      </c>
      <c r="I40" s="95">
        <f>310.49256</f>
        <v>310.49256000000003</v>
      </c>
      <c r="J40" s="245"/>
    </row>
    <row r="41" spans="1:10" ht="14.15" customHeight="1" x14ac:dyDescent="0.35">
      <c r="A41" s="1"/>
      <c r="B41" s="255"/>
      <c r="C41" s="70" t="s">
        <v>39</v>
      </c>
      <c r="D41" s="140"/>
      <c r="E41" s="136"/>
      <c r="F41" s="136">
        <f>0</f>
        <v>0</v>
      </c>
      <c r="G41" s="136">
        <f>53.75713</f>
        <v>53.757129999999997</v>
      </c>
      <c r="H41" s="136">
        <f t="shared" ref="H41" si="4">E41-G41</f>
        <v>-53.757129999999997</v>
      </c>
      <c r="I41" s="136">
        <f>85.43626</f>
        <v>85.436260000000004</v>
      </c>
      <c r="J41" s="245"/>
    </row>
    <row r="42" spans="1:10" ht="16.5" customHeight="1" x14ac:dyDescent="0.3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1476.5399699999998</v>
      </c>
      <c r="G42" s="73">
        <f t="shared" si="5"/>
        <v>117241.03447999999</v>
      </c>
      <c r="H42" s="73">
        <f t="shared" si="5"/>
        <v>58317.965520000005</v>
      </c>
      <c r="I42" s="73">
        <f t="shared" si="5"/>
        <v>155162.96806000001</v>
      </c>
      <c r="J42" s="245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5" customHeight="1" x14ac:dyDescent="0.35">
      <c r="A45" s="101"/>
      <c r="B45" s="24"/>
      <c r="C45" s="156" t="s">
        <v>147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35">
      <c r="A49" s="101"/>
      <c r="B49" s="24"/>
      <c r="C49" s="293" t="s">
        <v>43</v>
      </c>
      <c r="D49" s="293"/>
      <c r="E49" s="293"/>
      <c r="F49" s="293"/>
      <c r="G49" s="293"/>
      <c r="H49" s="293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148</v>
      </c>
      <c r="G51" s="68" t="s">
        <v>149</v>
      </c>
      <c r="H51" s="68" t="s">
        <v>150</v>
      </c>
      <c r="I51" s="68" t="s">
        <v>151</v>
      </c>
      <c r="J51" s="245"/>
    </row>
    <row r="52" spans="1:10" ht="14.15" customHeight="1" x14ac:dyDescent="0.35">
      <c r="A52" s="101"/>
      <c r="B52" s="24"/>
      <c r="C52" s="15" t="s">
        <v>45</v>
      </c>
      <c r="D52" s="294">
        <v>7872</v>
      </c>
      <c r="E52" s="294">
        <v>8231</v>
      </c>
      <c r="F52" s="10">
        <f>F56+F55+F54+F53</f>
        <v>0</v>
      </c>
      <c r="G52" s="10">
        <f>G56+G55+G54+G53</f>
        <v>0</v>
      </c>
      <c r="H52" s="294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295"/>
      <c r="E53" s="295"/>
      <c r="F53" s="123"/>
      <c r="G53" s="123"/>
      <c r="H53" s="295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295"/>
      <c r="E54" s="295"/>
      <c r="F54" s="123"/>
      <c r="G54" s="123"/>
      <c r="H54" s="295"/>
      <c r="I54" s="123"/>
      <c r="J54" s="245"/>
    </row>
    <row r="55" spans="1:10" ht="14.15" customHeight="1" x14ac:dyDescent="0.35">
      <c r="A55" s="101"/>
      <c r="B55" s="24"/>
      <c r="C55" s="60" t="s">
        <v>26</v>
      </c>
      <c r="D55" s="295"/>
      <c r="E55" s="295"/>
      <c r="F55" s="123"/>
      <c r="G55" s="123"/>
      <c r="H55" s="295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296"/>
      <c r="E56" s="296"/>
      <c r="F56" s="186"/>
      <c r="G56" s="186"/>
      <c r="H56" s="296"/>
      <c r="I56" s="186"/>
      <c r="J56" s="117"/>
    </row>
    <row r="57" spans="1:10" ht="14.15" customHeight="1" thickBot="1" x14ac:dyDescent="0.4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5" customHeight="1" thickBot="1" x14ac:dyDescent="0.4">
      <c r="A58" s="101"/>
      <c r="B58" s="24"/>
      <c r="C58" s="139" t="s">
        <v>47</v>
      </c>
      <c r="D58" s="136">
        <v>3000</v>
      </c>
      <c r="E58" s="136">
        <v>3000</v>
      </c>
      <c r="F58" s="136">
        <v>80</v>
      </c>
      <c r="G58" s="136">
        <v>1496</v>
      </c>
      <c r="H58" s="136">
        <f>E58-G58</f>
        <v>1504</v>
      </c>
      <c r="I58" s="136">
        <v>2279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297" t="s">
        <v>1</v>
      </c>
      <c r="D68" s="298"/>
      <c r="E68" s="297" t="s">
        <v>2</v>
      </c>
      <c r="F68" s="299"/>
      <c r="G68" s="297" t="s">
        <v>3</v>
      </c>
      <c r="H68" s="298"/>
      <c r="I68" s="173"/>
      <c r="J68" s="245"/>
    </row>
    <row r="69" spans="1:10" ht="15" customHeight="1" x14ac:dyDescent="0.35">
      <c r="B69" s="255"/>
      <c r="C69" s="110" t="s">
        <v>142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3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5" customHeight="1" x14ac:dyDescent="0.3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3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35">
      <c r="A73" s="1"/>
      <c r="B73" s="255"/>
      <c r="C73" s="101" t="s">
        <v>144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3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5" customHeight="1" x14ac:dyDescent="0.3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3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3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148</v>
      </c>
      <c r="G78" s="14" t="s">
        <v>149</v>
      </c>
      <c r="H78" s="14" t="s">
        <v>150</v>
      </c>
      <c r="I78" s="14" t="s">
        <v>151</v>
      </c>
      <c r="J78" s="117"/>
    </row>
    <row r="79" spans="1:10" ht="14.15" customHeight="1" x14ac:dyDescent="0.3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112.8022</v>
      </c>
      <c r="G79" s="10">
        <f t="shared" si="6"/>
        <v>17567.106370000001</v>
      </c>
      <c r="H79" s="10">
        <f t="shared" si="6"/>
        <v>8573.8936300000005</v>
      </c>
      <c r="I79" s="10">
        <f t="shared" si="6"/>
        <v>22239.334310000002</v>
      </c>
      <c r="J79" s="245"/>
    </row>
    <row r="80" spans="1:10" ht="15" customHeight="1" x14ac:dyDescent="0.35">
      <c r="A80" s="1"/>
      <c r="B80" s="255"/>
      <c r="C80" s="43" t="s">
        <v>20</v>
      </c>
      <c r="D80" s="44">
        <v>24216</v>
      </c>
      <c r="E80" s="44">
        <v>25316</v>
      </c>
      <c r="F80" s="22">
        <f>112.8022</f>
        <v>112.8022</v>
      </c>
      <c r="G80" s="22">
        <f>17240.53817</f>
        <v>17240.53817</v>
      </c>
      <c r="H80" s="22">
        <f>E80-G80</f>
        <v>8075.4618300000002</v>
      </c>
      <c r="I80" s="22">
        <f>21485.39686</f>
        <v>21485.396860000001</v>
      </c>
      <c r="J80" s="245"/>
    </row>
    <row r="81" spans="1:10" ht="14.15" customHeight="1" x14ac:dyDescent="0.35">
      <c r="A81" s="1"/>
      <c r="B81" s="255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326.5682</f>
        <v>326.56819999999999</v>
      </c>
      <c r="H81" s="48">
        <f>E81-G81</f>
        <v>498.43180000000001</v>
      </c>
      <c r="I81" s="48">
        <f>753.93745</f>
        <v>753.93745000000001</v>
      </c>
      <c r="J81" s="245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1159.3853699999997</v>
      </c>
      <c r="G82" s="10">
        <f t="shared" si="7"/>
        <v>17718.18316</v>
      </c>
      <c r="H82" s="10">
        <f t="shared" si="7"/>
        <v>26410.816840000003</v>
      </c>
      <c r="I82" s="10">
        <f t="shared" si="7"/>
        <v>21402.1247</v>
      </c>
      <c r="J82" s="245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1090.7011399999999</v>
      </c>
      <c r="G83" s="129">
        <f t="shared" si="8"/>
        <v>14038.14004</v>
      </c>
      <c r="H83" s="129">
        <f t="shared" si="8"/>
        <v>18466.859960000002</v>
      </c>
      <c r="I83" s="129">
        <f t="shared" si="8"/>
        <v>15743.739680000001</v>
      </c>
      <c r="J83" s="245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54.40428</f>
        <v>54.40428</v>
      </c>
      <c r="G84" s="123">
        <f>2406.07256</f>
        <v>2406.0725600000001</v>
      </c>
      <c r="H84" s="123">
        <f t="shared" ref="H84:H91" si="9">E84-G84</f>
        <v>6597.9274399999995</v>
      </c>
      <c r="I84" s="123">
        <f>3425.72099</f>
        <v>3425.7209899999998</v>
      </c>
      <c r="J84" s="245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385.46642</f>
        <v>385.46642000000003</v>
      </c>
      <c r="G85" s="123">
        <f>3640.89322</f>
        <v>3640.8932199999999</v>
      </c>
      <c r="H85" s="123">
        <f t="shared" si="9"/>
        <v>5434.1067800000001</v>
      </c>
      <c r="I85" s="123">
        <f>5320.94859</f>
        <v>5320.94859</v>
      </c>
      <c r="J85" s="245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472.75899</f>
        <v>472.75898999999998</v>
      </c>
      <c r="G86" s="123">
        <f>4381.7747</f>
        <v>4381.7746999999999</v>
      </c>
      <c r="H86" s="123">
        <f t="shared" si="9"/>
        <v>4267.2253000000001</v>
      </c>
      <c r="I86" s="123">
        <f>4553.1018</f>
        <v>4553.1018000000004</v>
      </c>
      <c r="J86" s="245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178.07145</f>
        <v>178.07145</v>
      </c>
      <c r="G87" s="123">
        <f>3609.39956</f>
        <v>3609.3995599999998</v>
      </c>
      <c r="H87" s="123">
        <f t="shared" si="9"/>
        <v>2167.6004400000002</v>
      </c>
      <c r="I87" s="123">
        <f>2443.9683</f>
        <v>2443.9683</v>
      </c>
      <c r="J87" s="245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42.22148</f>
        <v>42.22148</v>
      </c>
      <c r="G88" s="129">
        <f>2674.80329</f>
        <v>2674.8032899999998</v>
      </c>
      <c r="H88" s="129">
        <f t="shared" si="9"/>
        <v>5442.1967100000002</v>
      </c>
      <c r="I88" s="129">
        <f>4085.86221</f>
        <v>4085.8622099999998</v>
      </c>
      <c r="J88" s="245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26.46275</f>
        <v>26.46275</v>
      </c>
      <c r="G89" s="72">
        <f>1005.23983</f>
        <v>1005.23983</v>
      </c>
      <c r="H89" s="72">
        <f t="shared" si="9"/>
        <v>2501.76017</v>
      </c>
      <c r="I89" s="72">
        <f>1572.52281</f>
        <v>1572.5228099999999</v>
      </c>
      <c r="J89" s="245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0.03252</f>
        <v>3.252E-2</v>
      </c>
      <c r="G90" s="95">
        <f>26.94945</f>
        <v>26.949449999999999</v>
      </c>
      <c r="H90" s="95">
        <f t="shared" si="9"/>
        <v>292.05054999999999</v>
      </c>
      <c r="I90" s="95">
        <f>35.91918</f>
        <v>35.919179999999997</v>
      </c>
      <c r="J90" s="245"/>
    </row>
    <row r="91" spans="1:10" ht="18" customHeight="1" x14ac:dyDescent="0.35">
      <c r="A91" s="1"/>
      <c r="B91" s="255"/>
      <c r="C91" s="70" t="s">
        <v>54</v>
      </c>
      <c r="D91" s="140">
        <v>300</v>
      </c>
      <c r="E91" s="140">
        <v>300</v>
      </c>
      <c r="F91" s="136">
        <f>0.48174</f>
        <v>0.48174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35">
      <c r="A92" s="1"/>
      <c r="B92" s="255"/>
      <c r="C92" s="89" t="s">
        <v>38</v>
      </c>
      <c r="D92" s="140">
        <v>50</v>
      </c>
      <c r="E92" s="140">
        <v>50</v>
      </c>
      <c r="F92" s="95">
        <f>1.15716</f>
        <v>1.15716</v>
      </c>
      <c r="G92" s="95">
        <f>10.99288</f>
        <v>10.99288</v>
      </c>
      <c r="H92" s="136">
        <f>E92-G92</f>
        <v>39.00712</v>
      </c>
      <c r="I92" s="95">
        <f>19.04552</f>
        <v>19.04552</v>
      </c>
      <c r="J92" s="245"/>
    </row>
    <row r="93" spans="1:10" ht="18" customHeight="1" x14ac:dyDescent="0.3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5.1777</f>
        <v>5.1776999999999997</v>
      </c>
      <c r="H93" s="136">
        <f t="shared" ref="H93" si="10">E93-G93</f>
        <v>-5.1776999999999997</v>
      </c>
      <c r="I93" s="136">
        <f>16.02412</f>
        <v>16.02412</v>
      </c>
      <c r="J93" s="245"/>
    </row>
    <row r="94" spans="1:10" ht="16.5" customHeight="1" x14ac:dyDescent="0.3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1273.8589899999997</v>
      </c>
      <c r="G94" s="73">
        <f t="shared" si="12"/>
        <v>35628.40956</v>
      </c>
      <c r="H94" s="73">
        <f t="shared" si="12"/>
        <v>35310.590440000007</v>
      </c>
      <c r="I94" s="73">
        <f t="shared" si="12"/>
        <v>44012.447830000005</v>
      </c>
      <c r="J94" s="245"/>
    </row>
    <row r="95" spans="1:10" ht="13.5" customHeight="1" x14ac:dyDescent="0.3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35">
      <c r="A96" s="1"/>
      <c r="B96" s="24"/>
      <c r="C96" s="156" t="s">
        <v>145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35">
      <c r="A97" s="1"/>
      <c r="B97" s="24"/>
      <c r="C97" s="156" t="s">
        <v>152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3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3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5" customHeight="1" x14ac:dyDescent="0.3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5" customHeight="1" x14ac:dyDescent="0.3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5" customHeight="1" x14ac:dyDescent="0.3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3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148</v>
      </c>
      <c r="G114" s="14" t="s">
        <v>149</v>
      </c>
      <c r="H114" s="14" t="s">
        <v>150</v>
      </c>
      <c r="I114" s="14" t="s">
        <v>151</v>
      </c>
      <c r="J114" s="279"/>
    </row>
    <row r="115" spans="1:10" ht="14.15" customHeight="1" x14ac:dyDescent="0.3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170.10675000000001</v>
      </c>
      <c r="G115" s="10">
        <f t="shared" si="13"/>
        <v>26219.980059999998</v>
      </c>
      <c r="H115" s="10">
        <f t="shared" si="13"/>
        <v>46070.019939999998</v>
      </c>
      <c r="I115" s="10">
        <f t="shared" si="13"/>
        <v>33142.263989999999</v>
      </c>
      <c r="J115" s="245"/>
    </row>
    <row r="116" spans="1:10" ht="14.15" customHeight="1" x14ac:dyDescent="0.35">
      <c r="A116" s="1"/>
      <c r="B116" s="255"/>
      <c r="C116" s="43" t="s">
        <v>20</v>
      </c>
      <c r="D116" s="44">
        <v>51830</v>
      </c>
      <c r="E116" s="44">
        <v>57471</v>
      </c>
      <c r="F116" s="22">
        <f>170.10675</f>
        <v>170.10675000000001</v>
      </c>
      <c r="G116" s="22">
        <f>23300.87096</f>
        <v>23300.87096</v>
      </c>
      <c r="H116" s="22">
        <f>E116-G116</f>
        <v>34170.12904</v>
      </c>
      <c r="I116" s="22">
        <f>29048.10834</f>
        <v>29048.108339999999</v>
      </c>
      <c r="J116" s="245"/>
    </row>
    <row r="117" spans="1:10" ht="15" customHeight="1" x14ac:dyDescent="0.35">
      <c r="A117" s="1"/>
      <c r="B117" s="255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2853.7515</f>
        <v>2853.7514999999999</v>
      </c>
      <c r="H117" s="22">
        <f>E117-G117</f>
        <v>11465.2485</v>
      </c>
      <c r="I117" s="22">
        <f>4028.7055</f>
        <v>4028.7055</v>
      </c>
      <c r="J117" s="245"/>
    </row>
    <row r="118" spans="1:10" ht="13.5" customHeight="1" x14ac:dyDescent="0.3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45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470.164</f>
        <v>470.16399999999999</v>
      </c>
      <c r="G119" s="92">
        <f>554.07465</f>
        <v>554.07465000000002</v>
      </c>
      <c r="H119" s="92">
        <f>E119-G119</f>
        <v>51750.925349999998</v>
      </c>
      <c r="I119" s="92">
        <f>276.6094</f>
        <v>276.60939999999999</v>
      </c>
      <c r="J119" s="111"/>
    </row>
    <row r="120" spans="1:10" ht="15.75" customHeight="1" x14ac:dyDescent="0.3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301.16888</v>
      </c>
      <c r="G120" s="91">
        <f t="shared" ref="G120" si="14">G121+G126+G129</f>
        <v>33031.319430000003</v>
      </c>
      <c r="H120" s="91">
        <f>H121+H126+H129</f>
        <v>39863.680569999997</v>
      </c>
      <c r="I120" s="91">
        <f>I121+I126+I129</f>
        <v>44276.061900000001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215.72082</v>
      </c>
      <c r="G121" s="121">
        <f>G122+G123+G125+G124</f>
        <v>24672.539200000003</v>
      </c>
      <c r="H121" s="121">
        <f>H122+H123+H124+H125</f>
        <v>30061.460799999997</v>
      </c>
      <c r="I121" s="121">
        <f>I122+I123+I124+I125</f>
        <v>33602.947939999998</v>
      </c>
      <c r="J121" s="279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72.83086</f>
        <v>72.830860000000001</v>
      </c>
      <c r="G122" s="123">
        <f>5433.32172</f>
        <v>5433.3217199999999</v>
      </c>
      <c r="H122" s="123">
        <f>E122-G122</f>
        <v>10845.67828</v>
      </c>
      <c r="I122" s="123">
        <f>6104.33793</f>
        <v>6104.3379299999997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41.85693</f>
        <v>41.856929999999998</v>
      </c>
      <c r="G123" s="123">
        <f>7493.65807</f>
        <v>7493.6580700000004</v>
      </c>
      <c r="H123" s="123">
        <f>E123-G123</f>
        <v>6443.3419299999996</v>
      </c>
      <c r="I123" s="123">
        <f>10092.01868</f>
        <v>10092.018679999999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49.33863</f>
        <v>49.338630000000002</v>
      </c>
      <c r="G124" s="123">
        <f>5560.87568</f>
        <v>5560.8756800000001</v>
      </c>
      <c r="H124" s="123">
        <f>E124-G124</f>
        <v>6115.1243199999999</v>
      </c>
      <c r="I124" s="123">
        <f>8716.54322</f>
        <v>8716.5432199999996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51.6944</f>
        <v>51.694400000000002</v>
      </c>
      <c r="G125" s="123">
        <f>6184.68373</f>
        <v>6184.6837299999997</v>
      </c>
      <c r="H125" s="123">
        <f>E125-G125</f>
        <v>6657.3162700000003</v>
      </c>
      <c r="I125" s="123">
        <f>8690.04811</f>
        <v>8690.0481099999997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11.11767</v>
      </c>
      <c r="G126" s="129">
        <f>SUM(G127:G128)</f>
        <v>5708.9403499999999</v>
      </c>
      <c r="H126" s="129">
        <f>H127+H128</f>
        <v>1322.0596499999999</v>
      </c>
      <c r="I126" s="129">
        <f>SUM(I127:I128)</f>
        <v>7772.8987999999999</v>
      </c>
      <c r="J126" s="130"/>
    </row>
    <row r="127" spans="1:10" ht="14.15" customHeight="1" x14ac:dyDescent="0.35">
      <c r="A127" s="1"/>
      <c r="B127" s="255"/>
      <c r="C127" s="60" t="s">
        <v>66</v>
      </c>
      <c r="D127" s="61">
        <v>6819</v>
      </c>
      <c r="E127" s="61">
        <v>6531</v>
      </c>
      <c r="F127" s="123">
        <f>10.73607</f>
        <v>10.73607</v>
      </c>
      <c r="G127" s="123">
        <f>5594.95028</f>
        <v>5594.95028</v>
      </c>
      <c r="H127" s="123">
        <f t="shared" ref="H127:H135" si="15">E127-G127</f>
        <v>936.04971999999998</v>
      </c>
      <c r="I127" s="123">
        <f>7573.66264</f>
        <v>7573.6626399999996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0.3816</f>
        <v>0.38159999999999999</v>
      </c>
      <c r="G128" s="123">
        <f>113.99007</f>
        <v>113.99007</v>
      </c>
      <c r="H128" s="123">
        <f t="shared" si="15"/>
        <v>386.00993</v>
      </c>
      <c r="I128" s="123">
        <f>199.23616</f>
        <v>199.23616000000001</v>
      </c>
      <c r="J128" s="131"/>
    </row>
    <row r="129" spans="1:10" ht="15.75" customHeight="1" x14ac:dyDescent="0.35">
      <c r="A129" s="1"/>
      <c r="B129" s="255"/>
      <c r="C129" s="37" t="s">
        <v>11</v>
      </c>
      <c r="D129" s="59">
        <v>9315</v>
      </c>
      <c r="E129" s="59">
        <v>11130</v>
      </c>
      <c r="F129" s="72">
        <f>74.33039</f>
        <v>74.330389999999994</v>
      </c>
      <c r="G129" s="72">
        <f>2649.83988</f>
        <v>2649.83988</v>
      </c>
      <c r="H129" s="72">
        <f t="shared" si="15"/>
        <v>8480.1601200000005</v>
      </c>
      <c r="I129" s="72">
        <f>2900.21516</f>
        <v>2900.2151600000002</v>
      </c>
      <c r="J129" s="117"/>
    </row>
    <row r="130" spans="1:10" ht="15.75" customHeight="1" x14ac:dyDescent="0.35">
      <c r="A130" s="1"/>
      <c r="B130" s="255"/>
      <c r="C130" s="139" t="s">
        <v>34</v>
      </c>
      <c r="D130" s="140">
        <v>146</v>
      </c>
      <c r="E130" s="140">
        <v>146</v>
      </c>
      <c r="F130" s="136">
        <f>0.06345</f>
        <v>6.3450000000000006E-2</v>
      </c>
      <c r="G130" s="136">
        <f>15.16035</f>
        <v>15.160349999999999</v>
      </c>
      <c r="H130" s="136">
        <f t="shared" si="15"/>
        <v>130.83965000000001</v>
      </c>
      <c r="I130" s="136">
        <f>15.5985</f>
        <v>15.5985</v>
      </c>
      <c r="J130" s="117"/>
    </row>
    <row r="131" spans="1:10" ht="15.75" customHeight="1" x14ac:dyDescent="0.3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35">
      <c r="A132" s="1"/>
      <c r="B132" s="255"/>
      <c r="C132" s="137" t="s">
        <v>69</v>
      </c>
      <c r="D132" s="140">
        <v>2000</v>
      </c>
      <c r="E132" s="140">
        <v>2000</v>
      </c>
      <c r="F132" s="136">
        <f>4.45959</f>
        <v>4.4595900000000004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3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55"/>
      <c r="C134" s="139" t="s">
        <v>70</v>
      </c>
      <c r="D134" s="140">
        <v>313</v>
      </c>
      <c r="E134" s="140">
        <v>313</v>
      </c>
      <c r="F134" s="95">
        <f>1.3048</f>
        <v>1.3048</v>
      </c>
      <c r="G134" s="95">
        <f>79.8986</f>
        <v>79.898600000000002</v>
      </c>
      <c r="H134" s="136">
        <f t="shared" si="15"/>
        <v>233.10140000000001</v>
      </c>
      <c r="I134" s="95">
        <f>36.40483</f>
        <v>36.404829999999997</v>
      </c>
      <c r="J134" s="117"/>
    </row>
    <row r="135" spans="1:10" ht="15" customHeight="1" x14ac:dyDescent="0.35">
      <c r="A135" s="1"/>
      <c r="B135" s="255"/>
      <c r="C135" s="139" t="s">
        <v>39</v>
      </c>
      <c r="D135" s="142"/>
      <c r="E135" s="140"/>
      <c r="F135" s="136">
        <f>0</f>
        <v>0</v>
      </c>
      <c r="G135" s="136">
        <f>74.76946</f>
        <v>74.769459999999995</v>
      </c>
      <c r="H135" s="136">
        <f t="shared" si="15"/>
        <v>-74.769459999999995</v>
      </c>
      <c r="I135" s="136">
        <f>109.17109</f>
        <v>109.17109000000001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947.26747000000012</v>
      </c>
      <c r="G137" s="73">
        <f>G115+G119+G120+G130+G131+G132+G133+G134+G135</f>
        <v>61975.202550000002</v>
      </c>
      <c r="H137" s="73">
        <f>H115+H119+H120+H130+H131+H132+H133+H134+H135</f>
        <v>138323.79745000001</v>
      </c>
      <c r="I137" s="73">
        <f>I115+I119+I120+I130+I131+I132+I133+I134+I135</f>
        <v>79856.10970999999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35">
      <c r="A140" s="152"/>
      <c r="B140" s="50"/>
      <c r="C140" s="156" t="s">
        <v>153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35">
      <c r="A141" s="152"/>
      <c r="B141" s="50"/>
      <c r="C141" s="74" t="s">
        <v>146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5" customHeight="1" x14ac:dyDescent="0.3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5" customHeight="1" x14ac:dyDescent="0.3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5" customHeight="1" x14ac:dyDescent="0.3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5" customHeight="1" x14ac:dyDescent="0.3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5" customHeight="1" x14ac:dyDescent="0.3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3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3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148</v>
      </c>
      <c r="F159" s="14" t="s">
        <v>149</v>
      </c>
      <c r="G159" s="52" t="s">
        <v>150</v>
      </c>
      <c r="H159" s="14" t="s">
        <v>151</v>
      </c>
      <c r="I159" s="152"/>
      <c r="J159" s="279"/>
    </row>
    <row r="160" spans="1:10" ht="14.15" customHeight="1" x14ac:dyDescent="0.35">
      <c r="A160" s="1"/>
      <c r="B160" s="255"/>
      <c r="C160" s="138" t="s">
        <v>74</v>
      </c>
      <c r="D160" s="91">
        <v>3762</v>
      </c>
      <c r="E160" s="275">
        <f>0.57681</f>
        <v>0.57681000000000004</v>
      </c>
      <c r="F160" s="275">
        <f>391.93556</f>
        <v>391.93556000000001</v>
      </c>
      <c r="G160" s="42">
        <f>D160-F160-F161</f>
        <v>2782.6569800000002</v>
      </c>
      <c r="H160" s="275">
        <f>351.0755</f>
        <v>351.07549999999998</v>
      </c>
      <c r="I160" s="1"/>
      <c r="J160" s="117"/>
    </row>
    <row r="161" spans="1:10" ht="14.15" customHeight="1" x14ac:dyDescent="0.35">
      <c r="A161" s="1"/>
      <c r="B161" s="255"/>
      <c r="C161" s="133" t="s">
        <v>53</v>
      </c>
      <c r="D161" s="175"/>
      <c r="E161" s="148">
        <f>59.19716</f>
        <v>59.197159999999997</v>
      </c>
      <c r="F161" s="148">
        <f>587.40746</f>
        <v>587.40746000000001</v>
      </c>
      <c r="G161" s="213"/>
      <c r="H161" s="148">
        <f>670.81579</f>
        <v>670.81578999999999</v>
      </c>
      <c r="I161" s="1"/>
      <c r="J161" s="117"/>
    </row>
    <row r="162" spans="1:10" ht="15.65" customHeight="1" x14ac:dyDescent="0.35">
      <c r="A162" s="1"/>
      <c r="B162" s="255"/>
      <c r="C162" s="163" t="s">
        <v>75</v>
      </c>
      <c r="D162" s="95">
        <v>200</v>
      </c>
      <c r="E162" s="166">
        <f>0</f>
        <v>0</v>
      </c>
      <c r="F162" s="166">
        <f>49.92978</f>
        <v>49.929780000000001</v>
      </c>
      <c r="G162" s="166">
        <f>D162-F162</f>
        <v>150.07022000000001</v>
      </c>
      <c r="H162" s="166">
        <f>27.43974</f>
        <v>27.43974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10.4336</v>
      </c>
      <c r="F163" s="175">
        <f>F164+F165+F166</f>
        <v>122.07429999999999</v>
      </c>
      <c r="G163" s="175">
        <f>D163-F163</f>
        <v>5519.9256999999998</v>
      </c>
      <c r="H163" s="175">
        <f>H164+H165+H166</f>
        <v>91.785910000000001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1.903</f>
        <v>1.903</v>
      </c>
      <c r="F164" s="123">
        <f>38.28922</f>
        <v>38.28922</v>
      </c>
      <c r="G164" s="123"/>
      <c r="H164" s="123">
        <f>47.65949</f>
        <v>47.659489999999998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5.97204</f>
        <v>5.9720399999999998</v>
      </c>
      <c r="F165" s="123">
        <f>46.42782</f>
        <v>46.427819999999997</v>
      </c>
      <c r="G165" s="123"/>
      <c r="H165" s="123">
        <f>23.37726</f>
        <v>23.37726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2.55856</f>
        <v>2.5585599999999999</v>
      </c>
      <c r="F166" s="186">
        <f>37.35726</f>
        <v>37.357259999999997</v>
      </c>
      <c r="G166" s="186"/>
      <c r="H166" s="186">
        <f>20.74916</f>
        <v>20.74916</v>
      </c>
      <c r="I166" s="181"/>
      <c r="J166" s="182"/>
    </row>
    <row r="167" spans="1:10" ht="14.15" customHeight="1" x14ac:dyDescent="0.3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3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70.207570000000004</v>
      </c>
      <c r="F169" s="188">
        <f>F160+F161+F162+F163+F167+F168</f>
        <v>1151.3471</v>
      </c>
      <c r="G169" s="188">
        <f>D169-F169</f>
        <v>8523.652900000001</v>
      </c>
      <c r="H169" s="188">
        <f>H160+H161+H162+H163+H167+H168</f>
        <v>1141.1169400000001</v>
      </c>
      <c r="I169" s="159"/>
      <c r="J169" s="155"/>
    </row>
    <row r="170" spans="1:10" ht="42" customHeight="1" x14ac:dyDescent="0.35">
      <c r="A170" s="1"/>
      <c r="B170" s="193"/>
      <c r="C170" s="228" t="s">
        <v>132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3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55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55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55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3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55"/>
      <c r="C188" s="68" t="s">
        <v>16</v>
      </c>
      <c r="D188" s="210" t="s">
        <v>2</v>
      </c>
      <c r="E188" s="14" t="s">
        <v>140</v>
      </c>
      <c r="F188" s="68" t="s">
        <v>148</v>
      </c>
      <c r="G188" s="68" t="s">
        <v>149</v>
      </c>
      <c r="H188" s="68" t="s">
        <v>150</v>
      </c>
      <c r="I188" s="68" t="s">
        <v>151</v>
      </c>
      <c r="J188" s="117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12.26377</f>
        <v>12.263769999999999</v>
      </c>
      <c r="G189" s="124">
        <f>17484.11295</f>
        <v>17484.112949999999</v>
      </c>
      <c r="H189" s="124">
        <f>D189-G189</f>
        <v>26657.887050000001</v>
      </c>
      <c r="I189" s="124">
        <f>13155.88962</f>
        <v>13155.88962</v>
      </c>
      <c r="J189" s="117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0.045</f>
        <v>4.4999999999999998E-2</v>
      </c>
      <c r="G190" s="124">
        <f>6.28594</f>
        <v>6.2859400000000001</v>
      </c>
      <c r="H190" s="124">
        <f>D190-G190</f>
        <v>93.714060000000003</v>
      </c>
      <c r="I190" s="124">
        <f>8.13643</f>
        <v>8.1364300000000007</v>
      </c>
      <c r="J190" s="117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12.308769999999999</v>
      </c>
      <c r="G192" s="190">
        <f>SUM(G189:G191)</f>
        <v>17490.39889</v>
      </c>
      <c r="H192" s="190">
        <f>D192-G192</f>
        <v>26787.60111</v>
      </c>
      <c r="I192" s="190">
        <f>SUM(I189:I191)</f>
        <v>13164.02605</v>
      </c>
      <c r="J192" s="117"/>
    </row>
    <row r="193" spans="1:10" ht="12" customHeight="1" x14ac:dyDescent="0.3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2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3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148</v>
      </c>
      <c r="F201" s="68" t="s">
        <v>149</v>
      </c>
      <c r="G201" s="68" t="s">
        <v>150</v>
      </c>
      <c r="H201" s="68" t="s">
        <v>151</v>
      </c>
      <c r="I201" s="1"/>
      <c r="J201" s="117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2">
        <f>E203+E204</f>
        <v>222.864</v>
      </c>
      <c r="F202" s="72">
        <f>F203+F204</f>
        <v>1824.6950899999999</v>
      </c>
      <c r="G202" s="72">
        <f>D202-F202</f>
        <v>2162.3049099999998</v>
      </c>
      <c r="H202" s="72">
        <f>H203+H204</f>
        <v>2286.06367</v>
      </c>
      <c r="I202" s="249"/>
      <c r="J202" s="117"/>
    </row>
    <row r="203" spans="1:10" ht="15" customHeight="1" x14ac:dyDescent="0.35">
      <c r="A203" s="1"/>
      <c r="B203" s="255"/>
      <c r="C203" s="172" t="s">
        <v>8</v>
      </c>
      <c r="D203" s="124"/>
      <c r="E203" s="72">
        <f>221.66124</f>
        <v>221.66123999999999</v>
      </c>
      <c r="F203" s="72">
        <f>1361.30145</f>
        <v>1361.3014499999999</v>
      </c>
      <c r="G203" s="72"/>
      <c r="H203" s="72">
        <f>1831.42873</f>
        <v>1831.4287300000001</v>
      </c>
      <c r="I203" s="249"/>
      <c r="J203" s="117"/>
    </row>
    <row r="204" spans="1:10" ht="15" customHeight="1" x14ac:dyDescent="0.35">
      <c r="A204" s="1"/>
      <c r="B204" s="255"/>
      <c r="C204" s="172" t="s">
        <v>67</v>
      </c>
      <c r="D204" s="124"/>
      <c r="E204" s="124">
        <f>1.20276</f>
        <v>1.2027600000000001</v>
      </c>
      <c r="F204" s="124">
        <f>463.39364</f>
        <v>463.39364</v>
      </c>
      <c r="G204" s="168"/>
      <c r="H204" s="124">
        <f>454.63494</f>
        <v>454.63493999999997</v>
      </c>
      <c r="I204" s="249"/>
      <c r="J204" s="117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2">
        <f>348.64124</f>
        <v>348.64123999999998</v>
      </c>
      <c r="F205" s="72">
        <f>2326.75023</f>
        <v>2326.7502300000001</v>
      </c>
      <c r="G205" s="72">
        <f>D205-F205</f>
        <v>2286.2497699999999</v>
      </c>
      <c r="H205" s="72">
        <f>3235.36974</f>
        <v>3235.3697400000001</v>
      </c>
      <c r="I205" s="249"/>
      <c r="J205" s="117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571.50523999999996</v>
      </c>
      <c r="F206" s="190">
        <f>SUM(F202,F205)</f>
        <v>4151.4453199999998</v>
      </c>
      <c r="G206" s="190">
        <f>D206-F206</f>
        <v>4448.5546800000002</v>
      </c>
      <c r="H206" s="190">
        <f>SUM(H202,H205)</f>
        <v>5521.4334099999996</v>
      </c>
      <c r="I206" s="249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3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148</v>
      </c>
      <c r="F214" s="68" t="s">
        <v>149</v>
      </c>
      <c r="G214" s="68" t="s">
        <v>150</v>
      </c>
      <c r="H214" s="68" t="s">
        <v>151</v>
      </c>
      <c r="I214" s="1"/>
      <c r="J214" s="117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2">
        <f>E216+E217</f>
        <v>21.076610000000002</v>
      </c>
      <c r="F215" s="72">
        <f>F216+F217</f>
        <v>1703.9023499999998</v>
      </c>
      <c r="G215" s="72">
        <f>D215-F215</f>
        <v>3386.0976500000002</v>
      </c>
      <c r="H215" s="72">
        <f>H216+H217</f>
        <v>1984.1517900000001</v>
      </c>
      <c r="I215" s="249"/>
      <c r="J215" s="117"/>
    </row>
    <row r="216" spans="1:10" ht="15" customHeight="1" x14ac:dyDescent="0.35">
      <c r="A216" s="1"/>
      <c r="B216" s="255"/>
      <c r="C216" s="172" t="s">
        <v>8</v>
      </c>
      <c r="D216" s="124"/>
      <c r="E216" s="72">
        <f>19.96253</f>
        <v>19.962530000000001</v>
      </c>
      <c r="F216" s="72">
        <f>1453.42743</f>
        <v>1453.42743</v>
      </c>
      <c r="G216" s="72"/>
      <c r="H216" s="72">
        <f>1624.01905</f>
        <v>1624.0190500000001</v>
      </c>
      <c r="I216" s="249"/>
      <c r="J216" s="117"/>
    </row>
    <row r="217" spans="1:10" ht="15" customHeight="1" x14ac:dyDescent="0.35">
      <c r="A217" s="1"/>
      <c r="B217" s="255"/>
      <c r="C217" s="172" t="s">
        <v>67</v>
      </c>
      <c r="D217" s="124"/>
      <c r="E217" s="124">
        <f>1.11408</f>
        <v>1.11408</v>
      </c>
      <c r="F217" s="124">
        <f>250.47492</f>
        <v>250.47492</v>
      </c>
      <c r="G217" s="168"/>
      <c r="H217" s="124">
        <f>360.13274</f>
        <v>360.13274000000001</v>
      </c>
      <c r="I217" s="249"/>
      <c r="J217" s="117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2">
        <f>81.24584</f>
        <v>81.245840000000001</v>
      </c>
      <c r="F218" s="72">
        <f>1178.20059</f>
        <v>1178.2005899999999</v>
      </c>
      <c r="G218" s="72">
        <f>D218-F218</f>
        <v>1802.7994100000001</v>
      </c>
      <c r="H218" s="72">
        <f>1564.65322</f>
        <v>1564.6532199999999</v>
      </c>
      <c r="I218" s="249"/>
      <c r="J218" s="117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102.32245</v>
      </c>
      <c r="F219" s="190">
        <f>SUM(F215,F218)</f>
        <v>2882.1029399999998</v>
      </c>
      <c r="G219" s="190">
        <f>D219-F219</f>
        <v>5188.8970600000002</v>
      </c>
      <c r="H219" s="190">
        <f>SUM(H215,H218)</f>
        <v>3548.80501</v>
      </c>
      <c r="I219" s="249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5" customHeight="1" x14ac:dyDescent="0.3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148</v>
      </c>
      <c r="F236" s="68" t="s">
        <v>149</v>
      </c>
      <c r="G236" s="68" t="s">
        <v>150</v>
      </c>
      <c r="H236" s="68" t="s">
        <v>151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9.02254</f>
        <v>9.0225399999999993</v>
      </c>
      <c r="F237" s="124">
        <f>164.5823</f>
        <v>164.5823</v>
      </c>
      <c r="G237" s="124">
        <f>D237-F237</f>
        <v>635.41769999999997</v>
      </c>
      <c r="H237" s="124">
        <f>243.24442</f>
        <v>243.24441999999999</v>
      </c>
      <c r="I237" s="65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22.24076</f>
        <v>22.240760000000002</v>
      </c>
      <c r="F238" s="124">
        <f>283.32498</f>
        <v>283.32497999999998</v>
      </c>
      <c r="G238" s="124">
        <f>D238-F238</f>
        <v>1909.6750200000001</v>
      </c>
      <c r="H238" s="124">
        <f>435.43301</f>
        <v>435.43301000000002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35">
      <c r="A240" s="65"/>
      <c r="B240" s="251"/>
      <c r="C240" s="146" t="s">
        <v>94</v>
      </c>
      <c r="D240" s="223"/>
      <c r="E240" s="168">
        <f>0</f>
        <v>0</v>
      </c>
      <c r="F240" s="168">
        <f>0.0239</f>
        <v>2.3900000000000001E-2</v>
      </c>
      <c r="G240" s="124">
        <f>D240-F240</f>
        <v>-2.3900000000000001E-2</v>
      </c>
      <c r="H240" s="168">
        <f>0.047</f>
        <v>4.7E-2</v>
      </c>
      <c r="I240" s="283"/>
      <c r="J240" s="117"/>
    </row>
    <row r="241" spans="1:10" ht="14.15" customHeight="1" x14ac:dyDescent="0.35">
      <c r="A241" s="1"/>
      <c r="B241" s="255"/>
      <c r="C241" s="179" t="s">
        <v>86</v>
      </c>
      <c r="D241" s="5">
        <f>D226</f>
        <v>3003</v>
      </c>
      <c r="E241" s="190">
        <f>SUM(E237:E240)</f>
        <v>31.263300000000001</v>
      </c>
      <c r="F241" s="190">
        <f>SUM(F237:F240)</f>
        <v>447.98532000000006</v>
      </c>
      <c r="G241" s="190">
        <f>D241-F241</f>
        <v>2555.0146799999998</v>
      </c>
      <c r="H241" s="190">
        <f>H237+H238+H239+H240</f>
        <v>679.33448999999996</v>
      </c>
      <c r="I241" s="1"/>
      <c r="J241" s="117"/>
    </row>
    <row r="242" spans="1:10" ht="14.15" customHeight="1" x14ac:dyDescent="0.3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69"/>
      <c r="C261" s="224" t="s">
        <v>16</v>
      </c>
      <c r="D261" s="233" t="s">
        <v>17</v>
      </c>
      <c r="E261" s="68" t="s">
        <v>136</v>
      </c>
      <c r="F261" s="224" t="s">
        <v>148</v>
      </c>
      <c r="G261" s="224" t="s">
        <v>149</v>
      </c>
      <c r="H261" s="224" t="s">
        <v>150</v>
      </c>
      <c r="I261" s="224" t="s">
        <v>151</v>
      </c>
      <c r="J261" s="127"/>
    </row>
    <row r="262" spans="1:10" ht="14.15" customHeight="1" x14ac:dyDescent="0.3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196.83536000000001</v>
      </c>
      <c r="G262" s="254">
        <f t="shared" si="17"/>
        <v>2535.0541400000002</v>
      </c>
      <c r="H262" s="254">
        <f>H266+H265+H264+H263</f>
        <v>25200.94586</v>
      </c>
      <c r="I262" s="254">
        <f t="shared" si="17"/>
        <v>5574.7825700000003</v>
      </c>
      <c r="J262" s="127"/>
    </row>
    <row r="263" spans="1:10" ht="14.15" customHeight="1" x14ac:dyDescent="0.35">
      <c r="A263" s="215"/>
      <c r="B263" s="69"/>
      <c r="C263" s="256" t="s">
        <v>102</v>
      </c>
      <c r="D263" s="257">
        <v>14132</v>
      </c>
      <c r="E263" s="257">
        <v>16670</v>
      </c>
      <c r="F263" s="258">
        <f>0</f>
        <v>0</v>
      </c>
      <c r="G263" s="258">
        <f>710.89157</f>
        <v>710.89157</v>
      </c>
      <c r="H263" s="258">
        <f t="shared" ref="H263:H267" si="18">E263-G263</f>
        <v>15959.10843</v>
      </c>
      <c r="I263" s="258">
        <f>3658.15481</f>
        <v>3658.15481</v>
      </c>
      <c r="J263" s="127"/>
    </row>
    <row r="264" spans="1:10" ht="14.15" customHeight="1" x14ac:dyDescent="0.35">
      <c r="A264" s="215"/>
      <c r="B264" s="69"/>
      <c r="C264" s="260" t="s">
        <v>21</v>
      </c>
      <c r="D264" s="257">
        <v>3678</v>
      </c>
      <c r="E264" s="257">
        <v>4339</v>
      </c>
      <c r="F264" s="258">
        <f>0</f>
        <v>0</v>
      </c>
      <c r="G264" s="258">
        <f>390.3525</f>
        <v>390.35250000000002</v>
      </c>
      <c r="H264" s="258">
        <f t="shared" si="18"/>
        <v>3948.6475</v>
      </c>
      <c r="I264" s="258">
        <f>832.04145</f>
        <v>832.04145000000005</v>
      </c>
      <c r="J264" s="127"/>
    </row>
    <row r="265" spans="1:10" ht="14.15" customHeight="1" x14ac:dyDescent="0.35">
      <c r="A265" s="215"/>
      <c r="B265" s="69"/>
      <c r="C265" s="260" t="s">
        <v>99</v>
      </c>
      <c r="D265" s="257">
        <v>1506</v>
      </c>
      <c r="E265" s="257">
        <v>1571</v>
      </c>
      <c r="F265" s="258">
        <f>72.02916</f>
        <v>72.029160000000005</v>
      </c>
      <c r="G265" s="258">
        <f>744.65708</f>
        <v>744.65707999999995</v>
      </c>
      <c r="H265" s="258">
        <f t="shared" si="18"/>
        <v>826.34292000000005</v>
      </c>
      <c r="I265" s="258">
        <f>894.51625</f>
        <v>894.51625000000001</v>
      </c>
      <c r="J265" s="127"/>
    </row>
    <row r="266" spans="1:10" ht="14.15" customHeight="1" x14ac:dyDescent="0.35">
      <c r="A266" s="215"/>
      <c r="B266" s="69"/>
      <c r="C266" s="262" t="s">
        <v>122</v>
      </c>
      <c r="D266" s="263">
        <v>5043</v>
      </c>
      <c r="E266" s="263">
        <v>5156</v>
      </c>
      <c r="F266" s="258">
        <f>124.8062</f>
        <v>124.8062</v>
      </c>
      <c r="G266" s="258">
        <f>689.15299</f>
        <v>689.15299000000005</v>
      </c>
      <c r="H266" s="258">
        <f t="shared" si="18"/>
        <v>4466.8470099999995</v>
      </c>
      <c r="I266" s="258">
        <f>190.07006</f>
        <v>190.07006000000001</v>
      </c>
      <c r="J266" s="127"/>
    </row>
    <row r="267" spans="1:10" ht="14.15" customHeight="1" x14ac:dyDescent="0.35">
      <c r="A267" s="215"/>
      <c r="B267" s="69"/>
      <c r="C267" s="265" t="s">
        <v>59</v>
      </c>
      <c r="D267" s="266">
        <v>5500</v>
      </c>
      <c r="E267" s="266">
        <v>5500</v>
      </c>
      <c r="F267" s="268">
        <f>347.93832</f>
        <v>347.93831999999998</v>
      </c>
      <c r="G267" s="268">
        <f>1090.14996</f>
        <v>1090.14996</v>
      </c>
      <c r="H267" s="268">
        <f t="shared" si="18"/>
        <v>4409.8500400000003</v>
      </c>
      <c r="I267" s="268">
        <f>825.60076</f>
        <v>825.60076000000004</v>
      </c>
      <c r="J267" s="127"/>
    </row>
    <row r="268" spans="1:10" ht="14.15" customHeight="1" x14ac:dyDescent="0.3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13.939259999999999</v>
      </c>
      <c r="G268" s="269">
        <f>G270+G269</f>
        <v>1104.1739399999999</v>
      </c>
      <c r="H268" s="269">
        <f>E268-G268</f>
        <v>6895.8260600000003</v>
      </c>
      <c r="I268" s="269">
        <f>I270+I269</f>
        <v>1310.9787900000001</v>
      </c>
      <c r="J268" s="127"/>
    </row>
    <row r="269" spans="1:10" ht="14.15" customHeight="1" x14ac:dyDescent="0.35">
      <c r="A269" s="215"/>
      <c r="B269" s="69"/>
      <c r="C269" s="260" t="s">
        <v>53</v>
      </c>
      <c r="D269" s="271"/>
      <c r="E269" s="257"/>
      <c r="F269" s="258">
        <f>0.55215</f>
        <v>0.55215000000000003</v>
      </c>
      <c r="G269" s="258">
        <f>447.82058</f>
        <v>447.82058000000001</v>
      </c>
      <c r="H269" s="258"/>
      <c r="I269" s="258">
        <f>518.31711</f>
        <v>518.31710999999996</v>
      </c>
      <c r="J269" s="127"/>
    </row>
    <row r="270" spans="1:10" ht="14.15" customHeight="1" x14ac:dyDescent="0.35">
      <c r="A270" s="215"/>
      <c r="B270" s="69"/>
      <c r="C270" s="273" t="s">
        <v>103</v>
      </c>
      <c r="D270" s="274"/>
      <c r="E270" s="276"/>
      <c r="F270" s="277">
        <f>13.38711</f>
        <v>13.38711</v>
      </c>
      <c r="G270" s="277">
        <f>656.35336</f>
        <v>656.35335999999995</v>
      </c>
      <c r="H270" s="277"/>
      <c r="I270" s="277">
        <f>792.66168</f>
        <v>792.66168000000005</v>
      </c>
      <c r="J270" s="127"/>
    </row>
    <row r="271" spans="1:10" ht="14.15" customHeight="1" x14ac:dyDescent="0.3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5" customHeight="1" x14ac:dyDescent="0.35">
      <c r="A272" s="215"/>
      <c r="B272" s="69"/>
      <c r="C272" s="278" t="s">
        <v>104</v>
      </c>
      <c r="D272" s="281"/>
      <c r="E272" s="282"/>
      <c r="F272" s="268">
        <f>0.0168</f>
        <v>1.6799999999999999E-2</v>
      </c>
      <c r="G272" s="268">
        <f>4.01252</f>
        <v>4.0125200000000003</v>
      </c>
      <c r="H272" s="268">
        <f>E272-G272</f>
        <v>-4.0125200000000003</v>
      </c>
      <c r="I272" s="268">
        <f>4.51268</f>
        <v>4.5126799999999996</v>
      </c>
      <c r="J272" s="127"/>
    </row>
    <row r="273" spans="1:10" ht="19.5" customHeight="1" x14ac:dyDescent="0.3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558.72973999999999</v>
      </c>
      <c r="G273" s="286">
        <f t="shared" si="19"/>
        <v>4733.4040599999998</v>
      </c>
      <c r="H273" s="286">
        <f>H262+H267+H268+H271+H272</f>
        <v>36515.595940000007</v>
      </c>
      <c r="I273" s="286">
        <f t="shared" si="19"/>
        <v>7715.9012000000002</v>
      </c>
      <c r="J273" s="127"/>
    </row>
    <row r="274" spans="1:10" ht="14.15" customHeight="1" x14ac:dyDescent="0.3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5" customHeight="1" x14ac:dyDescent="0.3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5" customHeight="1" x14ac:dyDescent="0.35">
      <c r="A276" s="215"/>
      <c r="B276" s="69"/>
      <c r="C276" s="156" t="s">
        <v>138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3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15"/>
      <c r="C279" s="145" t="s">
        <v>112</v>
      </c>
      <c r="D279" s="152"/>
    </row>
    <row r="280" spans="1:10" ht="14.15" customHeight="1" x14ac:dyDescent="0.3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5" customHeight="1" x14ac:dyDescent="0.3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15"/>
      <c r="B288" s="69"/>
      <c r="C288" s="300" t="s">
        <v>120</v>
      </c>
      <c r="D288" s="300"/>
      <c r="E288" s="300"/>
      <c r="F288" s="300"/>
      <c r="G288" s="208"/>
      <c r="H288" s="208"/>
      <c r="I288" s="145"/>
      <c r="J288" s="127"/>
    </row>
    <row r="289" spans="1:10" ht="14.15" customHeight="1" x14ac:dyDescent="0.3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5"/>
      <c r="B293" s="193"/>
      <c r="C293" s="19" t="s">
        <v>107</v>
      </c>
      <c r="D293" s="21" t="s">
        <v>108</v>
      </c>
      <c r="E293" s="19" t="s">
        <v>148</v>
      </c>
      <c r="F293" s="19" t="s">
        <v>149</v>
      </c>
      <c r="G293" s="23" t="s">
        <v>150</v>
      </c>
      <c r="H293" s="19" t="s">
        <v>151</v>
      </c>
      <c r="I293" s="225"/>
      <c r="J293" s="13"/>
    </row>
    <row r="294" spans="1:10" ht="14.15" customHeight="1" x14ac:dyDescent="0.3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15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15"/>
      <c r="B299" s="69"/>
      <c r="C299" s="28" t="s">
        <v>11</v>
      </c>
      <c r="D299" s="222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15"/>
      <c r="B300" s="69"/>
      <c r="C300" s="265" t="s">
        <v>111</v>
      </c>
      <c r="D300" s="9">
        <v>893</v>
      </c>
      <c r="E300" s="34">
        <f>SUM(E301:E302)</f>
        <v>39.032499999999999</v>
      </c>
      <c r="F300" s="34">
        <f>SUM(F301:F302)</f>
        <v>512.33383000000003</v>
      </c>
      <c r="G300" s="82">
        <f>D300-F300</f>
        <v>380.66616999999997</v>
      </c>
      <c r="H300" s="34">
        <f>SUM(H301:H302)</f>
        <v>712.65938000000006</v>
      </c>
      <c r="I300" s="145"/>
      <c r="J300" s="127"/>
    </row>
    <row r="301" spans="1:10" ht="14.15" customHeight="1" x14ac:dyDescent="0.35">
      <c r="A301" s="215"/>
      <c r="B301" s="69"/>
      <c r="C301" s="28" t="s">
        <v>8</v>
      </c>
      <c r="D301" s="41"/>
      <c r="E301" s="29">
        <f>29.2255</f>
        <v>29.2255</v>
      </c>
      <c r="F301" s="29">
        <f>347.44484</f>
        <v>347.44484</v>
      </c>
      <c r="G301" s="94"/>
      <c r="H301" s="29">
        <f>493.32554</f>
        <v>493.32553999999999</v>
      </c>
      <c r="I301" s="145"/>
      <c r="J301" s="127"/>
    </row>
    <row r="302" spans="1:10" ht="14.15" customHeight="1" x14ac:dyDescent="0.35">
      <c r="A302" s="215"/>
      <c r="B302" s="69"/>
      <c r="C302" s="28" t="s">
        <v>11</v>
      </c>
      <c r="D302" s="222"/>
      <c r="E302" s="29">
        <f>9.807</f>
        <v>9.8070000000000004</v>
      </c>
      <c r="F302" s="29">
        <f>164.88899</f>
        <v>164.88899000000001</v>
      </c>
      <c r="G302" s="105"/>
      <c r="H302" s="29">
        <f>219.33384</f>
        <v>219.33384000000001</v>
      </c>
      <c r="I302" s="145"/>
      <c r="J302" s="127"/>
    </row>
    <row r="303" spans="1:10" ht="14.15" customHeight="1" x14ac:dyDescent="0.3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39.032499999999999</v>
      </c>
      <c r="F304" s="39">
        <f>F294+F297+F300+F303</f>
        <v>2521.9089599999998</v>
      </c>
      <c r="G304" s="40">
        <f>D304-F304</f>
        <v>159.09104000000025</v>
      </c>
      <c r="H304" s="39">
        <f>H294+H297+H300+H303</f>
        <v>2923.1035899999997</v>
      </c>
      <c r="I304" s="26"/>
      <c r="J304" s="127"/>
    </row>
    <row r="305" spans="1:10" ht="42" customHeight="1" x14ac:dyDescent="0.35">
      <c r="A305" s="215"/>
      <c r="B305" s="69"/>
      <c r="C305" s="291" t="s">
        <v>115</v>
      </c>
      <c r="D305" s="291"/>
      <c r="E305" s="291"/>
      <c r="F305" s="291"/>
      <c r="G305" s="291"/>
      <c r="H305" s="291"/>
      <c r="I305" s="291"/>
      <c r="J305" s="292"/>
    </row>
    <row r="306" spans="1:10" ht="14.15" customHeight="1" x14ac:dyDescent="0.3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" customHeight="1" x14ac:dyDescent="0.35"/>
    <row r="65491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18&amp;R05.05.2025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2025-05-06T07:21:40Z</dcterms:modified>
</cp:coreProperties>
</file>