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A04298D5-5816-4A62-89D3-50145434ADE0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1" l="1"/>
  <c r="G160" i="1"/>
  <c r="G119" i="1"/>
  <c r="G125" i="1"/>
  <c r="G124" i="1"/>
  <c r="G123" i="1"/>
  <c r="E33" i="1"/>
  <c r="H345" i="1"/>
  <c r="F345" i="1"/>
  <c r="E345" i="1"/>
  <c r="D345" i="1"/>
  <c r="G344" i="1"/>
  <c r="G345" i="1" s="1"/>
  <c r="G343" i="1"/>
  <c r="E336" i="1"/>
  <c r="E324" i="1"/>
  <c r="D324" i="1"/>
  <c r="H323" i="1"/>
  <c r="H324" i="1" s="1"/>
  <c r="F323" i="1"/>
  <c r="F324" i="1" s="1"/>
  <c r="E323" i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E300" i="1" s="1"/>
  <c r="H301" i="1"/>
  <c r="H300" i="1" s="1"/>
  <c r="F301" i="1"/>
  <c r="E301" i="1"/>
  <c r="F300" i="1"/>
  <c r="G300" i="1" s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E296" i="1"/>
  <c r="H295" i="1"/>
  <c r="H294" i="1" s="1"/>
  <c r="F295" i="1"/>
  <c r="F294" i="1" s="1"/>
  <c r="E295" i="1"/>
  <c r="E294" i="1" s="1"/>
  <c r="E304" i="1" s="1"/>
  <c r="I272" i="1"/>
  <c r="G272" i="1"/>
  <c r="H272" i="1" s="1"/>
  <c r="F272" i="1"/>
  <c r="I271" i="1"/>
  <c r="H271" i="1"/>
  <c r="G271" i="1"/>
  <c r="F271" i="1"/>
  <c r="I270" i="1"/>
  <c r="I268" i="1" s="1"/>
  <c r="G270" i="1"/>
  <c r="F270" i="1"/>
  <c r="F268" i="1" s="1"/>
  <c r="I269" i="1"/>
  <c r="G269" i="1"/>
  <c r="G268" i="1" s="1"/>
  <c r="H268" i="1" s="1"/>
  <c r="F269" i="1"/>
  <c r="I267" i="1"/>
  <c r="G267" i="1"/>
  <c r="H267" i="1" s="1"/>
  <c r="F267" i="1"/>
  <c r="I266" i="1"/>
  <c r="G266" i="1"/>
  <c r="H266" i="1" s="1"/>
  <c r="F266" i="1"/>
  <c r="I265" i="1"/>
  <c r="I262" i="1" s="1"/>
  <c r="G265" i="1"/>
  <c r="H265" i="1" s="1"/>
  <c r="F265" i="1"/>
  <c r="F262" i="1" s="1"/>
  <c r="F273" i="1" s="1"/>
  <c r="I264" i="1"/>
  <c r="G264" i="1"/>
  <c r="H264" i="1" s="1"/>
  <c r="F264" i="1"/>
  <c r="I263" i="1"/>
  <c r="G263" i="1"/>
  <c r="H263" i="1" s="1"/>
  <c r="F263" i="1"/>
  <c r="E262" i="1"/>
  <c r="E273" i="1" s="1"/>
  <c r="D262" i="1"/>
  <c r="D273" i="1" s="1"/>
  <c r="H254" i="1"/>
  <c r="F254" i="1"/>
  <c r="D251" i="1"/>
  <c r="D250" i="1"/>
  <c r="H241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F237" i="1"/>
  <c r="F241" i="1" s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F204" i="1"/>
  <c r="F202" i="1" s="1"/>
  <c r="E204" i="1"/>
  <c r="E202" i="1" s="1"/>
  <c r="E206" i="1" s="1"/>
  <c r="H203" i="1"/>
  <c r="F203" i="1"/>
  <c r="E203" i="1"/>
  <c r="H202" i="1"/>
  <c r="H206" i="1" s="1"/>
  <c r="I192" i="1"/>
  <c r="F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F164" i="1"/>
  <c r="F163" i="1" s="1"/>
  <c r="E164" i="1"/>
  <c r="E163" i="1" s="1"/>
  <c r="H163" i="1"/>
  <c r="H162" i="1"/>
  <c r="F162" i="1"/>
  <c r="G162" i="1" s="1"/>
  <c r="E162" i="1"/>
  <c r="H161" i="1"/>
  <c r="F161" i="1"/>
  <c r="E161" i="1"/>
  <c r="H160" i="1"/>
  <c r="H169" i="1" s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F126" i="1" s="1"/>
  <c r="I126" i="1"/>
  <c r="E126" i="1"/>
  <c r="D126" i="1"/>
  <c r="I125" i="1"/>
  <c r="H125" i="1"/>
  <c r="F125" i="1"/>
  <c r="I124" i="1"/>
  <c r="H124" i="1"/>
  <c r="F124" i="1"/>
  <c r="I123" i="1"/>
  <c r="F123" i="1"/>
  <c r="F121" i="1" s="1"/>
  <c r="F120" i="1" s="1"/>
  <c r="I122" i="1"/>
  <c r="I121" i="1" s="1"/>
  <c r="I120" i="1" s="1"/>
  <c r="G122" i="1"/>
  <c r="H122" i="1" s="1"/>
  <c r="F122" i="1"/>
  <c r="E121" i="1"/>
  <c r="E120" i="1" s="1"/>
  <c r="D121" i="1"/>
  <c r="D120" i="1"/>
  <c r="D137" i="1" s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G116" i="1"/>
  <c r="G115" i="1" s="1"/>
  <c r="F116" i="1"/>
  <c r="F115" i="1" s="1"/>
  <c r="I115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H84" i="1" s="1"/>
  <c r="F84" i="1"/>
  <c r="I83" i="1"/>
  <c r="F83" i="1"/>
  <c r="F82" i="1" s="1"/>
  <c r="E83" i="1"/>
  <c r="E82" i="1" s="1"/>
  <c r="D83" i="1"/>
  <c r="I82" i="1"/>
  <c r="D82" i="1"/>
  <c r="I81" i="1"/>
  <c r="G81" i="1"/>
  <c r="H81" i="1" s="1"/>
  <c r="F81" i="1"/>
  <c r="F79" i="1" s="1"/>
  <c r="F94" i="1" s="1"/>
  <c r="I80" i="1"/>
  <c r="I79" i="1" s="1"/>
  <c r="I94" i="1" s="1"/>
  <c r="G80" i="1"/>
  <c r="G79" i="1" s="1"/>
  <c r="F80" i="1"/>
  <c r="E79" i="1"/>
  <c r="D79" i="1"/>
  <c r="D94" i="1" s="1"/>
  <c r="C76" i="1"/>
  <c r="H72" i="1"/>
  <c r="F72" i="1"/>
  <c r="D72" i="1"/>
  <c r="H58" i="1"/>
  <c r="H57" i="1"/>
  <c r="I52" i="1"/>
  <c r="I31" i="1" s="1"/>
  <c r="G52" i="1"/>
  <c r="G31" i="1" s="1"/>
  <c r="H31" i="1" s="1"/>
  <c r="F52" i="1"/>
  <c r="F31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H34" i="1"/>
  <c r="G34" i="1"/>
  <c r="G33" i="1" s="1"/>
  <c r="F34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E25" i="1" s="1"/>
  <c r="D26" i="1"/>
  <c r="D25" i="1"/>
  <c r="I24" i="1"/>
  <c r="G24" i="1"/>
  <c r="G22" i="1" s="1"/>
  <c r="F24" i="1"/>
  <c r="F22" i="1" s="1"/>
  <c r="I23" i="1"/>
  <c r="I22" i="1" s="1"/>
  <c r="G23" i="1"/>
  <c r="H23" i="1" s="1"/>
  <c r="F23" i="1"/>
  <c r="E22" i="1"/>
  <c r="D22" i="1"/>
  <c r="D42" i="1" s="1"/>
  <c r="H16" i="1"/>
  <c r="F16" i="1"/>
  <c r="D16" i="1"/>
  <c r="G121" i="1" l="1"/>
  <c r="H123" i="1"/>
  <c r="H121" i="1" s="1"/>
  <c r="I26" i="1"/>
  <c r="I25" i="1" s="1"/>
  <c r="I42" i="1" s="1"/>
  <c r="F33" i="1"/>
  <c r="F26" i="1"/>
  <c r="E94" i="1"/>
  <c r="E42" i="1"/>
  <c r="H304" i="1"/>
  <c r="G163" i="1"/>
  <c r="F169" i="1"/>
  <c r="G169" i="1"/>
  <c r="H26" i="1"/>
  <c r="G241" i="1"/>
  <c r="I273" i="1"/>
  <c r="G215" i="1"/>
  <c r="F219" i="1"/>
  <c r="G219" i="1" s="1"/>
  <c r="E137" i="1"/>
  <c r="H33" i="1"/>
  <c r="H83" i="1"/>
  <c r="H82" i="1" s="1"/>
  <c r="I137" i="1"/>
  <c r="H192" i="1"/>
  <c r="F206" i="1"/>
  <c r="G206" i="1" s="1"/>
  <c r="G202" i="1"/>
  <c r="H262" i="1"/>
  <c r="H273" i="1" s="1"/>
  <c r="F304" i="1"/>
  <c r="G304" i="1" s="1"/>
  <c r="G294" i="1"/>
  <c r="F137" i="1"/>
  <c r="H126" i="1"/>
  <c r="E169" i="1"/>
  <c r="H80" i="1"/>
  <c r="H79" i="1" s="1"/>
  <c r="G237" i="1"/>
  <c r="H116" i="1"/>
  <c r="H115" i="1" s="1"/>
  <c r="G126" i="1"/>
  <c r="G120" i="1" s="1"/>
  <c r="G137" i="1" s="1"/>
  <c r="G26" i="1"/>
  <c r="G25" i="1" s="1"/>
  <c r="G42" i="1" s="1"/>
  <c r="G83" i="1"/>
  <c r="G82" i="1" s="1"/>
  <c r="G94" i="1" s="1"/>
  <c r="G262" i="1"/>
  <c r="G273" i="1" s="1"/>
  <c r="G323" i="1"/>
  <c r="G324" i="1" s="1"/>
  <c r="H24" i="1"/>
  <c r="H22" i="1" s="1"/>
  <c r="H52" i="1"/>
  <c r="H120" i="1" l="1"/>
  <c r="H137" i="1" s="1"/>
  <c r="F25" i="1"/>
  <c r="F42" i="1" s="1"/>
  <c r="H25" i="1"/>
  <c r="H42" i="1" s="1"/>
  <c r="H94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<sst xmlns="http://schemas.openxmlformats.org/spreadsheetml/2006/main" count="393" uniqueCount="167">
  <si>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</si>
  <si>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</si>
  <si>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</si>
  <si>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</si>
  <si>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</si>
  <si>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</si>
  <si>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</si>
  <si>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</si>
  <si>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</si>
  <si>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</si>
  <si>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</si>
  <si>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</si>
  <si>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</si>
  <si>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</si>
  <si>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</si>
  <si>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</si>
  <si>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</si>
  <si>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</si>
  <si>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</si>
  <si>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</si>
  <si>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</si>
  <si>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</si>
  <si>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</si>
  <si>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</si>
  <si>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</si>
  <si>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</si>
  <si>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</si>
  <si>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</si>
  <si>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</si>
  <si>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</si>
  <si>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</si>
  <si>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</si>
  <si>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</si>
  <si>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</si>
  <si>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</si>
  <si>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</si>
  <si>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</si>
  <si>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</si>
  <si>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</si>
  <si>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</si>
  <si>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</si>
  <si>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</si>
  <si>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</si>
  <si>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</si>
  <si>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</si>
  <si>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</si>
  <si>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</si>
  <si>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</si>
  <si>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</si>
  <si>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</si>
  <si>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</si>
  <si>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</si>
  <si>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</si>
  <si>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</si>
  <si>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</si>
  <si>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</si>
  <si>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</si>
  <si>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</si>
  <si>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</si>
  <si>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</si>
  <si>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</si>
  <si>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</si>
  <si>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</si>
  <si>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</si>
  <si>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</si>
  <si>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</si>
  <si>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</si>
  <si>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</si>
  <si>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</si>
  <si>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</si>
  <si>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</si>
  <si>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</si>
  <si>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</si>
  <si>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</si>
  <si>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</si>
  <si>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</si>
  <si>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</si>
  <si>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</si>
  <si>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</si>
  <si>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</si>
  <si>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</si>
  <si>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</si>
  <si>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</si>
  <si>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</si>
  <si>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</si>
  <si>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</si>
  <si>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</si>
  <si>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</si>
  <si>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</si>
  <si>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</si>
  <si>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</si>
  <si>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</si>
  <si>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</si>
  <si>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</si>
  <si>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</si>
  <si>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</si>
  <si>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</si>
  <si>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</si>
  <si>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</si>
  <si>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</si>
  <si>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</si>
  <si>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</si>
  <si>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</si>
  <si>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</si>
  <si>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</si>
  <si>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</si>
  <si>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</si>
  <si>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</si>
  <si>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</si>
  <si>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</si>
  <si>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</si>
  <si>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</si>
  <si>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</si>
  <si>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</si>
  <si>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</si>
  <si>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</si>
  <si>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</si>
  <si>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</si>
  <si>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</si>
  <si>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</si>
  <si>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</si>
  <si>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</si>
  <si>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</si>
  <si>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</si>
  <si>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</si>
  <si>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</si>
  <si>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</si>
  <si>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</si>
  <si>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</si>
  <si>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</si>
  <si>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</si>
  <si>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</si>
  <si>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</si>
  <si>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</si>
  <si>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</si>
  <si>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</si>
  <si>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</si>
  <si>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</si>
  <si>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</si>
  <si>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</si>
  <si>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</si>
  <si>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</si>
  <si>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</si>
  <si>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</si>
  <si>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</si>
  <si>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</si>
  <si>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</si>
  <si>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</si>
  <si>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</si>
  <si>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</si>
  <si>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</si>
  <si>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</si>
  <si>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</si>
  <si>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</si>
  <si>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</si>
  <si>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</si>
  <si>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</si>
  <si>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</si>
  <si>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</si>
  <si>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53 tonn, men det legges til grunn at hele avsetningen tas</t>
  </si>
  <si>
    <t>4 Registrert rekreasjonsfiske utgjør 402 tonn, men det legges til grunn at hele avsetningen tas</t>
  </si>
  <si>
    <t>3 Registrert rekreasjonsfiske utgjør 768 tonn, men det legges til grunn at hele avsetningen tas</t>
  </si>
  <si>
    <t>FANGST UKE 45</t>
  </si>
  <si>
    <t>FANGST T.O.M UKE 45</t>
  </si>
  <si>
    <t>RESTKVOTER UKE 45</t>
  </si>
  <si>
    <t>FANGST T.O.M UKE 45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</si>
  <si>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3 744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</si>
</sst>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98" zoomScaleNormal="100" zoomScaleSheetLayoutView="100" zoomScalePageLayoutView="85" workbookViewId="0">
      <selection activeCell="I119" sqref="I119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344.41800000000001</v>
      </c>
      <c r="G22" s="27">
        <f t="shared" si="0"/>
        <v>30388.839359999998</v>
      </c>
      <c r="H22" s="10">
        <f t="shared" si="0"/>
        <v>11198.16064</v>
      </c>
      <c r="I22" s="10">
        <f t="shared" si="0"/>
        <v>47015.839499999995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40825</v>
      </c>
      <c r="F23" s="22">
        <f>343.689</f>
        <v>343.68900000000002</v>
      </c>
      <c r="G23" s="22">
        <f>29931.28731</f>
        <v>29931.28731</v>
      </c>
      <c r="H23" s="22">
        <f>E23-G23</f>
        <v>10893.71269</v>
      </c>
      <c r="I23" s="22">
        <f>46470.84342</f>
        <v>46470.843419999997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762</v>
      </c>
      <c r="F24" s="165">
        <f>0.729</f>
        <v>0.72899999999999998</v>
      </c>
      <c r="G24" s="22">
        <f>457.55205</f>
        <v>457.55205000000001</v>
      </c>
      <c r="H24" s="22">
        <f>E24-G24</f>
        <v>304.44794999999999</v>
      </c>
      <c r="I24" s="22">
        <f>544.99608</f>
        <v>544.99608000000001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1129.2397700000001</v>
      </c>
      <c r="G25" s="10">
        <f t="shared" si="1"/>
        <v>110304.66829999999</v>
      </c>
      <c r="H25" s="10">
        <f t="shared" si="1"/>
        <v>11427.331700000002</v>
      </c>
      <c r="I25" s="10">
        <f t="shared" si="1"/>
        <v>128624.36983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847.84879999999998</v>
      </c>
      <c r="G26" s="129">
        <f>G27+G28+G29+G30+G31</f>
        <v>88045.929279999997</v>
      </c>
      <c r="H26" s="129">
        <f t="shared" ref="H26:I26" si="2">H27+H28+H29+H30+H31</f>
        <v>6817.0707200000033</v>
      </c>
      <c r="I26" s="129">
        <f t="shared" si="2"/>
        <v>104127.53709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25143</v>
      </c>
      <c r="F27" s="209">
        <f>333.55812 - F53</f>
        <v>60.558119999999974</v>
      </c>
      <c r="G27" s="123">
        <f>24348.75651 - G53</f>
        <v>22988.756509999999</v>
      </c>
      <c r="H27" s="123">
        <f t="shared" ref="H27:H39" si="3">E27-G27</f>
        <v>2154.2434900000007</v>
      </c>
      <c r="I27" s="123">
        <f>27078.06486 - I53</f>
        <v>25964.064859999999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23988</v>
      </c>
      <c r="F28" s="123">
        <f>309.6082 - F54</f>
        <v>36.608200000000011</v>
      </c>
      <c r="G28" s="123">
        <f>24383.58934 - G54</f>
        <v>22815.589339999999</v>
      </c>
      <c r="H28" s="123">
        <f t="shared" si="3"/>
        <v>1172.4106600000014</v>
      </c>
      <c r="I28" s="123">
        <f>29770.28842 - I54</f>
        <v>28224.288420000001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21861</v>
      </c>
      <c r="F29" s="123">
        <f>113.90926 - F55</f>
        <v>12.909260000000003</v>
      </c>
      <c r="G29" s="123">
        <f>22896.51987 - G55</f>
        <v>21438.51987</v>
      </c>
      <c r="H29" s="123">
        <f t="shared" si="3"/>
        <v>422.48012999999992</v>
      </c>
      <c r="I29" s="123">
        <f>27118.51939 - I55</f>
        <v>25798.519390000001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15640</v>
      </c>
      <c r="F30" s="123">
        <f>90.77322 - F56</f>
        <v>-25.226780000000005</v>
      </c>
      <c r="G30" s="123">
        <f>16417.06356 - G56</f>
        <v>15472.063559999999</v>
      </c>
      <c r="H30" s="123">
        <f t="shared" si="3"/>
        <v>167.93644000000131</v>
      </c>
      <c r="I30" s="123">
        <f>20160.66442 - I56</f>
        <v>19052.664420000001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763</v>
      </c>
      <c r="G31" s="123">
        <f>G52</f>
        <v>5331</v>
      </c>
      <c r="H31" s="123">
        <f>E31-G31</f>
        <v>2900</v>
      </c>
      <c r="I31" s="123">
        <f>I52</f>
        <v>5088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13691</v>
      </c>
      <c r="F32" s="129">
        <f>133.83286</f>
        <v>133.83286000000001</v>
      </c>
      <c r="G32" s="129">
        <f>10197.94978</f>
        <v>10197.949780000001</v>
      </c>
      <c r="H32" s="129">
        <f t="shared" si="3"/>
        <v>3493.0502199999992</v>
      </c>
      <c r="I32" s="129">
        <f>12138.21548</f>
        <v>12138.215480000001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147.55811</v>
      </c>
      <c r="G33" s="129">
        <f>G34+G35</f>
        <v>12060.78924</v>
      </c>
      <c r="H33" s="129">
        <f t="shared" si="3"/>
        <v>1117.2107599999999</v>
      </c>
      <c r="I33" s="129">
        <f>I34+I35</f>
        <v>12358.617260000001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12218</v>
      </c>
      <c r="F34" s="123">
        <f>175.55811 - F57 - F58</f>
        <v>17.558109999999999</v>
      </c>
      <c r="G34" s="129">
        <f>14260.78924 - G57 - G58</f>
        <v>11090.78924</v>
      </c>
      <c r="H34" s="123">
        <f t="shared" si="3"/>
        <v>1127.2107599999999</v>
      </c>
      <c r="I34" s="123">
        <f>15236.61726 - I57 - I58</f>
        <v>11666.617260000001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130</v>
      </c>
      <c r="G35" s="67">
        <f>G57</f>
        <v>970</v>
      </c>
      <c r="H35" s="67">
        <f t="shared" si="3"/>
        <v>-10</v>
      </c>
      <c r="I35" s="67">
        <f>I57</f>
        <v>692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7.74878</f>
        <v>7.74878</v>
      </c>
      <c r="G37" s="95">
        <f>636.23527</f>
        <v>636.23527000000001</v>
      </c>
      <c r="H37" s="95">
        <f t="shared" si="3"/>
        <v>218.76472999999999</v>
      </c>
      <c r="I37" s="95">
        <f>499.06476</f>
        <v>499.06475999999998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28</v>
      </c>
      <c r="G38" s="95">
        <f>G58</f>
        <v>2200</v>
      </c>
      <c r="H38" s="95">
        <f t="shared" si="3"/>
        <v>800</v>
      </c>
      <c r="I38" s="95">
        <f>I58</f>
        <v>2878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1.94135</f>
        <v>1.9413499999999999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0.96</f>
        <v>0.96</v>
      </c>
      <c r="G40" s="95">
        <f>387.57066</f>
        <v>387.57065999999998</v>
      </c>
      <c r="H40" s="95">
        <f>E40-G40</f>
        <v>62.429340000000025</v>
      </c>
      <c r="I40" s="95">
        <f>348.271</f>
        <v>348.27100000000002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2.746</f>
        <v>2.746</v>
      </c>
      <c r="G41" s="136">
        <f>154.93402</f>
        <v>154.93402</v>
      </c>
      <c r="H41" s="136">
        <f t="shared" ref="H41" si="4">E41-G41</f>
        <v>-154.93402</v>
      </c>
      <c r="I41" s="136">
        <f>127.48176</f>
        <v>127.48175999999999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1515.0539000000003</v>
      </c>
      <c r="G42" s="73">
        <f t="shared" si="5"/>
        <v>151352.50401</v>
      </c>
      <c r="H42" s="73">
        <f t="shared" si="5"/>
        <v>24271.495990000003</v>
      </c>
      <c r="I42" s="73">
        <f t="shared" si="5"/>
        <v>186841.38805000001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763</v>
      </c>
      <c r="G52" s="10">
        <f>G56+G55+G54+G53</f>
        <v>5331</v>
      </c>
      <c r="H52" s="321">
        <f>E52-G52</f>
        <v>2900</v>
      </c>
      <c r="I52" s="10">
        <f>I56+I55+I54+I53</f>
        <v>5088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>
        <v>273</v>
      </c>
      <c r="G53" s="123">
        <v>1360</v>
      </c>
      <c r="H53" s="322"/>
      <c r="I53" s="123">
        <v>1114</v>
      </c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>
        <v>273</v>
      </c>
      <c r="G54" s="123">
        <v>1568</v>
      </c>
      <c r="H54" s="322"/>
      <c r="I54" s="123">
        <v>1546</v>
      </c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>
        <v>101</v>
      </c>
      <c r="G55" s="123">
        <v>1458</v>
      </c>
      <c r="H55" s="322"/>
      <c r="I55" s="123">
        <v>1320</v>
      </c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>
        <v>116</v>
      </c>
      <c r="G56" s="186">
        <v>945</v>
      </c>
      <c r="H56" s="323"/>
      <c r="I56" s="186">
        <v>1108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130</v>
      </c>
      <c r="G57" s="92">
        <v>970</v>
      </c>
      <c r="H57" s="92">
        <f>E57-G57</f>
        <v>-10</v>
      </c>
      <c r="I57" s="92">
        <v>692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28</v>
      </c>
      <c r="G58" s="136">
        <v>2200</v>
      </c>
      <c r="H58" s="136">
        <f>E58-G58</f>
        <v>800</v>
      </c>
      <c r="I58" s="136">
        <v>2878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46.127200000000002</v>
      </c>
      <c r="G79" s="10">
        <f t="shared" si="6"/>
        <v>22020.26109</v>
      </c>
      <c r="H79" s="10">
        <f t="shared" si="6"/>
        <v>4101.7389099999991</v>
      </c>
      <c r="I79" s="10">
        <f t="shared" si="6"/>
        <v>24206.084610000002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25297</v>
      </c>
      <c r="F80" s="22">
        <f>42.6216</f>
        <v>42.621600000000001</v>
      </c>
      <c r="G80" s="22">
        <f>21468.51983</f>
        <v>21468.519830000001</v>
      </c>
      <c r="H80" s="22">
        <f>E80-G80</f>
        <v>3828.4801699999989</v>
      </c>
      <c r="I80" s="22">
        <f>23410.64626</f>
        <v>23410.646260000001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3.5056</f>
        <v>3.5055999999999998</v>
      </c>
      <c r="G81" s="48">
        <f>551.74126</f>
        <v>551.74126000000001</v>
      </c>
      <c r="H81" s="48">
        <f>E81-G81</f>
        <v>273.25873999999999</v>
      </c>
      <c r="I81" s="48">
        <f>795.43835</f>
        <v>795.43835000000001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489.08920999999998</v>
      </c>
      <c r="G82" s="10">
        <f t="shared" si="7"/>
        <v>36052.377120000005</v>
      </c>
      <c r="H82" s="10">
        <f t="shared" si="7"/>
        <v>8057.622879999999</v>
      </c>
      <c r="I82" s="10">
        <f t="shared" si="7"/>
        <v>41754.187689999999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351.52837</v>
      </c>
      <c r="G83" s="129">
        <f t="shared" si="8"/>
        <v>28598.703010000001</v>
      </c>
      <c r="H83" s="129">
        <f t="shared" si="8"/>
        <v>3887.2969899999989</v>
      </c>
      <c r="I83" s="129">
        <f t="shared" si="8"/>
        <v>33360.174629999994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174.63832</f>
        <v>174.63831999999999</v>
      </c>
      <c r="G84" s="123">
        <f>4401.72019</f>
        <v>4401.72019</v>
      </c>
      <c r="H84" s="123">
        <f t="shared" ref="H84:H91" si="9">E84-G84</f>
        <v>4602.27981</v>
      </c>
      <c r="I84" s="123">
        <f>5707.258</f>
        <v>5707.2579999999998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9068</v>
      </c>
      <c r="F85" s="123">
        <f>92.27329</f>
        <v>92.273290000000003</v>
      </c>
      <c r="G85" s="123">
        <f>7592.97894</f>
        <v>7592.97894</v>
      </c>
      <c r="H85" s="123">
        <f t="shared" si="9"/>
        <v>1475.02106</v>
      </c>
      <c r="I85" s="123">
        <f>10618.70485</f>
        <v>10618.70485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8642</v>
      </c>
      <c r="F86" s="123">
        <f>52.52538</f>
        <v>52.525379999999998</v>
      </c>
      <c r="G86" s="123">
        <f>8541.49082</f>
        <v>8541.4908200000009</v>
      </c>
      <c r="H86" s="123">
        <f t="shared" si="9"/>
        <v>100.50917999999911</v>
      </c>
      <c r="I86" s="123">
        <f>9996.85334</f>
        <v>9996.8533399999997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5772</v>
      </c>
      <c r="F87" s="123">
        <f>32.09138</f>
        <v>32.091380000000001</v>
      </c>
      <c r="G87" s="123">
        <f>8062.51306</f>
        <v>8062.5130600000002</v>
      </c>
      <c r="H87" s="123">
        <f t="shared" si="9"/>
        <v>-2290.5130600000002</v>
      </c>
      <c r="I87" s="123">
        <f>7037.35844</f>
        <v>7037.35844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19.7593</f>
        <v>19.7593</v>
      </c>
      <c r="G88" s="129">
        <f>5100.99838</f>
        <v>5100.99838</v>
      </c>
      <c r="H88" s="129">
        <f t="shared" si="9"/>
        <v>3016.00162</v>
      </c>
      <c r="I88" s="129">
        <f>5755.46833</f>
        <v>5755.4683299999997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117.80154</f>
        <v>117.80154</v>
      </c>
      <c r="G89" s="72">
        <f>2352.67573</f>
        <v>2352.6757299999999</v>
      </c>
      <c r="H89" s="72">
        <f t="shared" si="9"/>
        <v>1154.3242700000001</v>
      </c>
      <c r="I89" s="72">
        <f>2638.54473</f>
        <v>2638.5447300000001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0.03079</f>
        <v>3.0790000000000001E-2</v>
      </c>
      <c r="G90" s="95">
        <f>38.00416</f>
        <v>38.004159999999999</v>
      </c>
      <c r="H90" s="95">
        <f t="shared" si="9"/>
        <v>280.99583999999999</v>
      </c>
      <c r="I90" s="95">
        <f>36.47378</f>
        <v>36.473779999999998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0.25824</f>
        <v>0.25824000000000003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0.001</f>
        <v>1E-3</v>
      </c>
      <c r="G92" s="95">
        <f>15.3273</f>
        <v>15.327299999999999</v>
      </c>
      <c r="H92" s="136">
        <f>E92-G92</f>
        <v>34.672699999999999</v>
      </c>
      <c r="I92" s="95">
        <f>49.917</f>
        <v>49.917000000000002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0.006</f>
        <v>6.0000000000000001E-3</v>
      </c>
      <c r="G93" s="136">
        <f>24.14878</f>
        <v>24.148779999999999</v>
      </c>
      <c r="H93" s="136">
        <f t="shared" ref="H93" si="10">E93-G93</f>
        <v>-24.148779999999999</v>
      </c>
      <c r="I93" s="136">
        <f>45.16542</f>
        <v>45.165419999999997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535.51243999999997</v>
      </c>
      <c r="G94" s="73">
        <f t="shared" si="12"/>
        <v>58450.118450000002</v>
      </c>
      <c r="H94" s="73">
        <f t="shared" si="12"/>
        <v>12450.881549999998</v>
      </c>
      <c r="I94" s="73">
        <f t="shared" si="12"/>
        <v>66391.828500000003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626.44159999999999</v>
      </c>
      <c r="G115" s="10">
        <f t="shared" si="13"/>
        <v>43772.039230000009</v>
      </c>
      <c r="H115" s="10">
        <f t="shared" si="13"/>
        <v>27242.960769999998</v>
      </c>
      <c r="I115" s="10">
        <f t="shared" si="13"/>
        <v>56063.875280000007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471.494</f>
        <v>471.49400000000003</v>
      </c>
      <c r="G116" s="22">
        <f>39183.81915</f>
        <v>39183.819150000003</v>
      </c>
      <c r="H116" s="22">
        <f>E116-G116</f>
        <v>17266.180849999997</v>
      </c>
      <c r="I116" s="22">
        <f>50295.94494</f>
        <v>50295.944940000001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154.9476</f>
        <v>154.94759999999999</v>
      </c>
      <c r="G117" s="22">
        <f>4522.86248</f>
        <v>4522.8624799999998</v>
      </c>
      <c r="H117" s="22">
        <f>E117-G117</f>
        <v>9542.1375200000002</v>
      </c>
      <c r="I117" s="22">
        <f>5691.41619</f>
        <v>5691.4161899999999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76.51415</f>
        <v>76.514150000000001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16.554</f>
        <v>16.553999999999998</v>
      </c>
      <c r="G119" s="92">
        <f>30114.7967+3744.4183</f>
        <v>33859.214999999997</v>
      </c>
      <c r="H119" s="92">
        <f>E119-G119</f>
        <v>17570.785000000003</v>
      </c>
      <c r="I119" s="92">
        <f>16510.0418</f>
        <v>16510.041799999999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931.8911999999998</v>
      </c>
      <c r="G120" s="91">
        <f t="shared" ref="G120" si="14">G121+G126+G129</f>
        <v>46067.123350000002</v>
      </c>
      <c r="H120" s="91">
        <f>H121+H126+H129</f>
        <v>28977.876649999998</v>
      </c>
      <c r="I120" s="91">
        <f>I121+I126+I129</f>
        <v>69428.479499999987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826.60018999999988</v>
      </c>
      <c r="G121" s="121">
        <f>G122+G123+G125+G124</f>
        <v>34165.337149999999</v>
      </c>
      <c r="H121" s="121">
        <f>H122+H123+H124+H125</f>
        <v>22193.662849999997</v>
      </c>
      <c r="I121" s="121">
        <f>I122+I123+I124+I125</f>
        <v>54078.01204999999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199.85454</f>
        <v>199.85453999999999</v>
      </c>
      <c r="G122" s="123">
        <f>8678.91531</f>
        <v>8678.9153100000003</v>
      </c>
      <c r="H122" s="123">
        <f>E122-G122</f>
        <v>7337.0846899999997</v>
      </c>
      <c r="I122" s="123">
        <f>10749.80953</f>
        <v>10749.80953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195.6693</f>
        <v>195.66929999999999</v>
      </c>
      <c r="G123" s="123">
        <f>9539.81198-186.6723</f>
        <v>9353.1396800000002</v>
      </c>
      <c r="H123" s="123">
        <f>E123-G123</f>
        <v>5500.8603199999998</v>
      </c>
      <c r="I123" s="123">
        <f>13741.61868</f>
        <v>13741.61868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240.77505</f>
        <v>240.77504999999999</v>
      </c>
      <c r="G124" s="123">
        <f>9202.16915-769.2729</f>
        <v>8432.8962499999998</v>
      </c>
      <c r="H124" s="123">
        <f>E124-G124</f>
        <v>4439.1037500000002</v>
      </c>
      <c r="I124" s="123">
        <f>14393.32246</f>
        <v>14393.322459999999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190.3013</f>
        <v>190.3013</v>
      </c>
      <c r="G125" s="123">
        <f>10488.85901-2788.4731</f>
        <v>7700.38591</v>
      </c>
      <c r="H125" s="123">
        <f>E125-G125</f>
        <v>4916.61409</v>
      </c>
      <c r="I125" s="123">
        <f>15193.26138</f>
        <v>15193.26138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3.9697499999999999</v>
      </c>
      <c r="G126" s="129">
        <f>SUM(G127:G128)</f>
        <v>6291.6076999999996</v>
      </c>
      <c r="H126" s="129">
        <f>H127+H128</f>
        <v>1450.3923000000002</v>
      </c>
      <c r="I126" s="129">
        <f>SUM(I127:I128)</f>
        <v>8979.2465499999998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1.24335</f>
        <v>1.24335</v>
      </c>
      <c r="G127" s="123">
        <f>6100.70918</f>
        <v>6100.7091799999998</v>
      </c>
      <c r="H127" s="123">
        <f t="shared" ref="H127:H135" si="15">E127-G127</f>
        <v>1141.2908200000002</v>
      </c>
      <c r="I127" s="123">
        <f>8529.97469</f>
        <v>8529.9746899999991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2.7264</f>
        <v>2.7263999999999999</v>
      </c>
      <c r="G128" s="123">
        <f>190.89852</f>
        <v>190.89851999999999</v>
      </c>
      <c r="H128" s="123">
        <f t="shared" si="15"/>
        <v>309.10148000000004</v>
      </c>
      <c r="I128" s="123">
        <f>449.27186</f>
        <v>449.27186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101.32126</f>
        <v>101.32126</v>
      </c>
      <c r="G129" s="72">
        <f>5610.1785</f>
        <v>5610.1785</v>
      </c>
      <c r="H129" s="72">
        <f t="shared" si="15"/>
        <v>5333.8215</v>
      </c>
      <c r="I129" s="72">
        <f>6371.2209</f>
        <v>6371.2209000000003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0.1301</f>
        <v>0.13009999999999999</v>
      </c>
      <c r="G130" s="136">
        <f>18.46683</f>
        <v>18.466830000000002</v>
      </c>
      <c r="H130" s="136">
        <f t="shared" si="15"/>
        <v>127.53317</v>
      </c>
      <c r="I130" s="136">
        <f>16.2215</f>
        <v>16.221499999999999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2.99793</f>
        <v>2.9979300000000002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0.032</f>
        <v>3.2000000000000001E-2</v>
      </c>
      <c r="G134" s="95">
        <f>90.52</f>
        <v>90.52</v>
      </c>
      <c r="H134" s="136">
        <f t="shared" si="15"/>
        <v>222.48000000000002</v>
      </c>
      <c r="I134" s="95">
        <f>72.10681</f>
        <v>72.106809999999996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4.791</f>
        <v>4.7910000000000004</v>
      </c>
      <c r="G135" s="136">
        <f>253.68559</f>
        <v>253.68558999999999</v>
      </c>
      <c r="H135" s="136">
        <f t="shared" si="15"/>
        <v>-253.68558999999999</v>
      </c>
      <c r="I135" s="136">
        <f>274.36324</f>
        <v>274.36324000000002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1582.8378299999997</v>
      </c>
      <c r="G137" s="73">
        <f>G115+G119+G120+G130+G131+G132+G133+G134+G135</f>
        <v>126062.41800000001</v>
      </c>
      <c r="H137" s="73">
        <f>H115+H119+H120+H130+H131+H132+H133+H134+H135</f>
        <v>74236.581999999995</v>
      </c>
      <c r="I137" s="73">
        <f>I115+I119+I120+I130+I131+I132+I133+I134+I135</f>
        <v>144621.12413000001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4.61214</f>
        <v>4.6121400000000001</v>
      </c>
      <c r="F160" s="297">
        <f>1235.73306</f>
        <v>1235.73306</v>
      </c>
      <c r="G160" s="42">
        <f>D160-F160-F161</f>
        <v>1196.4515699999999</v>
      </c>
      <c r="H160" s="297">
        <f>1296.38831</f>
        <v>1296.38831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61.23539</f>
        <v>61.235390000000002</v>
      </c>
      <c r="F161" s="148">
        <f>1329.81537</f>
        <v>1329.81537</v>
      </c>
      <c r="G161" s="219"/>
      <c r="H161" s="148">
        <f>1569.32435</f>
        <v>1569.3243500000001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0.42792</f>
        <v>0.42792000000000002</v>
      </c>
      <c r="F162" s="166">
        <f>87.50318</f>
        <v>87.50318</v>
      </c>
      <c r="G162" s="166">
        <f>D162-F162</f>
        <v>112.49682</v>
      </c>
      <c r="H162" s="166">
        <f>117.20527</f>
        <v>117.20527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14.14978</v>
      </c>
      <c r="F163" s="175">
        <f>F164+F165+F166</f>
        <v>5461.0980199999995</v>
      </c>
      <c r="G163" s="175">
        <f>D163-F163</f>
        <v>180.90198000000055</v>
      </c>
      <c r="H163" s="175">
        <f>H164+H165+H166</f>
        <v>5989.8900400000002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2.79477</f>
        <v>2.7947700000000002</v>
      </c>
      <c r="F164" s="123">
        <f>3076.30194</f>
        <v>3076.3019399999998</v>
      </c>
      <c r="G164" s="123"/>
      <c r="H164" s="123">
        <f>3091.86722</f>
        <v>3091.8672200000001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2.82305</f>
        <v>2.8230499999999998</v>
      </c>
      <c r="F165" s="123">
        <f>1593.6733</f>
        <v>1593.6732999999999</v>
      </c>
      <c r="G165" s="123"/>
      <c r="H165" s="123">
        <f>1828.91058</f>
        <v>1828.91058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8.53196</f>
        <v>8.5319599999999998</v>
      </c>
      <c r="F166" s="186">
        <f>791.12278</f>
        <v>791.12278000000003</v>
      </c>
      <c r="G166" s="186"/>
      <c r="H166" s="186">
        <f>1069.11224</f>
        <v>1069.1122399999999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80.425229999999999</v>
      </c>
      <c r="F169" s="188">
        <f>F160+F161+F162+F163+F167+F168</f>
        <v>8119.5027300000002</v>
      </c>
      <c r="G169" s="188">
        <f>D169-F169</f>
        <v>1555.4972699999998</v>
      </c>
      <c r="H169" s="188">
        <f>H160+H161+H162+H163+H167+H168</f>
        <v>8972.8079699999998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9.19222</f>
        <v>9.1922200000000007</v>
      </c>
      <c r="G189" s="124">
        <f>45039.64429</f>
        <v>45039.644289999997</v>
      </c>
      <c r="H189" s="124">
        <f>E189-G189</f>
        <v>-1704.6442899999965</v>
      </c>
      <c r="I189" s="124">
        <f>42643.67591</f>
        <v>42643.675909999998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0.1592</f>
        <v>0.15920000000000001</v>
      </c>
      <c r="G190" s="124">
        <f>39.40414</f>
        <v>39.404139999999998</v>
      </c>
      <c r="H190" s="124">
        <f>E190-G190</f>
        <v>60.595860000000002</v>
      </c>
      <c r="I190" s="124">
        <f>41.609</f>
        <v>41.609000000000002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9.351420000000001</v>
      </c>
      <c r="G192" s="190">
        <f>SUM(G189:G191)</f>
        <v>45079.048429999995</v>
      </c>
      <c r="H192" s="190">
        <f>E192-G192</f>
        <v>-1608.0484299999953</v>
      </c>
      <c r="I192" s="190">
        <f>SUM(I189:I191)</f>
        <v>42685.284909999995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17.244060000000001</v>
      </c>
      <c r="F202" s="72">
        <f>F203+F204</f>
        <v>3903.97973</v>
      </c>
      <c r="G202" s="72">
        <f>D202-F202</f>
        <v>83.020269999999982</v>
      </c>
      <c r="H202" s="72">
        <f>H203+H204</f>
        <v>4281.4243999999999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5.6324</f>
        <v>5.6323999999999996</v>
      </c>
      <c r="F203" s="72">
        <f>3161.28419</f>
        <v>3161.2841899999999</v>
      </c>
      <c r="G203" s="72"/>
      <c r="H203" s="72">
        <f>3644.50781</f>
        <v>3644.5078100000001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11.61166</f>
        <v>11.611660000000001</v>
      </c>
      <c r="F204" s="124">
        <f>742.69554</f>
        <v>742.69554000000005</v>
      </c>
      <c r="G204" s="168"/>
      <c r="H204" s="124">
        <f>636.91659</f>
        <v>636.91659000000004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45.8166</f>
        <v>45.816600000000001</v>
      </c>
      <c r="F205" s="72">
        <f>4764.26546</f>
        <v>4764.2654599999996</v>
      </c>
      <c r="G205" s="72">
        <f>D205-F205</f>
        <v>-151.26545999999962</v>
      </c>
      <c r="H205" s="72">
        <f>5430.30628</f>
        <v>5430.3062799999998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63.060659999999999</v>
      </c>
      <c r="F206" s="190">
        <f>SUM(F202,F205)</f>
        <v>8668.2451899999996</v>
      </c>
      <c r="G206" s="190">
        <f>D206-F206</f>
        <v>-68.245189999999639</v>
      </c>
      <c r="H206" s="190">
        <f>SUM(H202,H205)</f>
        <v>9711.7306800000006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12.553199999999999</v>
      </c>
      <c r="F215" s="72">
        <f>F216+F217</f>
        <v>5380.7023099999997</v>
      </c>
      <c r="G215" s="72">
        <f>D215-F215</f>
        <v>-290.70230999999967</v>
      </c>
      <c r="H215" s="72">
        <f>H216+H217</f>
        <v>5384.2507500000002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3.0094</f>
        <v>3.0093999999999999</v>
      </c>
      <c r="F216" s="72">
        <f>4989.53935</f>
        <v>4989.53935</v>
      </c>
      <c r="G216" s="72"/>
      <c r="H216" s="72">
        <f>4841.6281</f>
        <v>4841.6280999999999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9.5438</f>
        <v>9.5437999999999992</v>
      </c>
      <c r="F217" s="124">
        <f>391.16296</f>
        <v>391.16296</v>
      </c>
      <c r="G217" s="168"/>
      <c r="H217" s="124">
        <f>542.62265</f>
        <v>542.62265000000002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156.54082</f>
        <v>156.54082</v>
      </c>
      <c r="F218" s="72">
        <f>2861.48757</f>
        <v>2861.4875699999998</v>
      </c>
      <c r="G218" s="72">
        <f>D218-F218</f>
        <v>119.51243000000022</v>
      </c>
      <c r="H218" s="72">
        <f>3045.23635</f>
        <v>3045.2363500000001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169.09402</v>
      </c>
      <c r="F219" s="190">
        <f>SUM(F215,F218)</f>
        <v>8242.1898799999999</v>
      </c>
      <c r="G219" s="190">
        <f>D219-F219</f>
        <v>-171.1898799999999</v>
      </c>
      <c r="H219" s="190">
        <f>SUM(H215,H218)</f>
        <v>8429.4871000000003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1.3157</f>
        <v>1.3157000000000001</v>
      </c>
      <c r="F237" s="124">
        <f>588.23939</f>
        <v>588.23938999999996</v>
      </c>
      <c r="G237" s="124">
        <f>D237-F237</f>
        <v>211.76061000000004</v>
      </c>
      <c r="H237" s="124">
        <f>640.99021</f>
        <v>640.99021000000005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7.04189</f>
        <v>7.0418900000000004</v>
      </c>
      <c r="F238" s="124">
        <f>1455.52226</f>
        <v>1455.52226</v>
      </c>
      <c r="G238" s="124">
        <f>D238-F238</f>
        <v>737.47774000000004</v>
      </c>
      <c r="H238" s="124">
        <f>2478.11364</f>
        <v>2478.11364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2.07758</f>
        <v>2.0775800000000002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8.3575900000000001</v>
      </c>
      <c r="F241" s="190">
        <f>SUM(F237:F240)</f>
        <v>2050.0841799999998</v>
      </c>
      <c r="G241" s="190">
        <f>D241-F241</f>
        <v>952.91582000000017</v>
      </c>
      <c r="H241" s="190">
        <f>H237+H238+H239+H240</f>
        <v>3124.9680499999999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36.985880000000002</v>
      </c>
      <c r="G262" s="276">
        <f t="shared" si="17"/>
        <v>25405.616389999999</v>
      </c>
      <c r="H262" s="276">
        <f>H266+H265+H264+H263</f>
        <v>2330.3836099999999</v>
      </c>
      <c r="I262" s="276">
        <f t="shared" si="17"/>
        <v>19624.09331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17447.99107</f>
        <v>17447.99107</v>
      </c>
      <c r="H263" s="280">
        <f t="shared" ref="H263:H267" si="18">E263-G263</f>
        <v>-777.99107000000004</v>
      </c>
      <c r="I263" s="280">
        <f>13098.60783</f>
        <v>13098.607830000001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3097.53753</f>
        <v>3097.5375300000001</v>
      </c>
      <c r="H264" s="280">
        <f>E264-G264</f>
        <v>1241.4624699999999</v>
      </c>
      <c r="I264" s="280">
        <f>1998.07392</f>
        <v>1998.07392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3.03288</f>
        <v>3.03288</v>
      </c>
      <c r="G265" s="280">
        <f>1699.6586</f>
        <v>1699.6586</v>
      </c>
      <c r="H265" s="280">
        <f t="shared" si="18"/>
        <v>-128.65859999999998</v>
      </c>
      <c r="I265" s="280">
        <f>2023.75065</f>
        <v>2023.75065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33.953</f>
        <v>33.953000000000003</v>
      </c>
      <c r="G266" s="280">
        <f>3160.42919</f>
        <v>3160.4291899999998</v>
      </c>
      <c r="H266" s="280">
        <f t="shared" si="18"/>
        <v>1995.5708100000002</v>
      </c>
      <c r="I266" s="280">
        <f>2503.66091</f>
        <v>2503.6609100000001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0.018</f>
        <v>1.7999999999999999E-2</v>
      </c>
      <c r="G267" s="290">
        <f>4113.26224</f>
        <v>4113.26224</v>
      </c>
      <c r="H267" s="290">
        <f t="shared" si="18"/>
        <v>1386.73776</v>
      </c>
      <c r="I267" s="290">
        <f>2115.64678</f>
        <v>2115.64678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82.681449999999998</v>
      </c>
      <c r="G268" s="291">
        <f>G270+G269</f>
        <v>3474.7877500000004</v>
      </c>
      <c r="H268" s="291">
        <f>E268-G268</f>
        <v>4525.2122499999996</v>
      </c>
      <c r="I268" s="291">
        <f>I270+I269</f>
        <v>3991.1804300000003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543.14094</f>
        <v>543.14094</v>
      </c>
      <c r="H269" s="280"/>
      <c r="I269" s="280">
        <f>1060.54332</f>
        <v>1060.54332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82.68145</f>
        <v>82.681449999999998</v>
      </c>
      <c r="G270" s="299">
        <f>2931.64681</f>
        <v>2931.6468100000002</v>
      </c>
      <c r="H270" s="299"/>
      <c r="I270" s="299">
        <f>2930.63711</f>
        <v>2930.6371100000001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0.1565</f>
        <v>0.1565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10.81544</f>
        <v>10.815440000000001</v>
      </c>
      <c r="G272" s="290">
        <f>182.76921</f>
        <v>182.76920999999999</v>
      </c>
      <c r="H272" s="290">
        <f>E272-G272</f>
        <v>-182.76920999999999</v>
      </c>
      <c r="I272" s="290">
        <f>113.8034</f>
        <v>113.8034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130.50076999999999</v>
      </c>
      <c r="G273" s="308">
        <f t="shared" si="19"/>
        <v>33177.004090000002</v>
      </c>
      <c r="H273" s="308">
        <f>H262+H267+H268+H271+H272</f>
        <v>8071.9959099999996</v>
      </c>
      <c r="I273" s="308">
        <f t="shared" si="19"/>
        <v>25844.880420000001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921.28393000000005</v>
      </c>
      <c r="G294" s="82">
        <f>D294-F294</f>
        <v>-142.28393000000005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680.47175</f>
        <v>680.47175000000004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240.81218</f>
        <v>240.81218000000001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43.511799999999994</v>
      </c>
      <c r="F297" s="25">
        <f>SUM(F298:F299)</f>
        <v>47.041799999999995</v>
      </c>
      <c r="G297" s="82">
        <f>D297-F297</f>
        <v>731.95820000000003</v>
      </c>
      <c r="H297" s="25">
        <f>SUM(H298:H299)</f>
        <v>74.198599999999999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37.9843</f>
        <v>37.984299999999998</v>
      </c>
      <c r="F298" s="29">
        <f>41.5143</f>
        <v>41.514299999999999</v>
      </c>
      <c r="G298" s="94"/>
      <c r="H298" s="29">
        <f>49.6065</f>
        <v>49.606499999999997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5.5275</f>
        <v>5.5274999999999999</v>
      </c>
      <c r="F299" s="29">
        <f>5.5275</f>
        <v>5.5274999999999999</v>
      </c>
      <c r="G299" s="105"/>
      <c r="H299" s="29">
        <f>24.5921</f>
        <v>24.592099999999999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43.511799999999994</v>
      </c>
      <c r="F304" s="39">
        <f>F294+F297+F300+F303</f>
        <v>968.32573000000002</v>
      </c>
      <c r="G304" s="40">
        <f>D304-F304</f>
        <v>1369.67427</v>
      </c>
      <c r="H304" s="39">
        <f>H294+H297+H300+H303</f>
        <v>1097.4044799999999</v>
      </c>
      <c r="I304" s="26"/>
      <c r="J304" s="127"/>
    </row>
    <row r="305" spans="1:10" ht="42" customHeight="1" x14ac:dyDescent="0.2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1.08608</f>
        <v>1.0860799999999999</v>
      </c>
      <c r="F322" s="29">
        <f>1038.34571</f>
        <v>1038.3457100000001</v>
      </c>
      <c r="G322" s="238">
        <f>D322-F322</f>
        <v>-790.34571000000005</v>
      </c>
      <c r="H322" s="29">
        <f>663.74406</f>
        <v>663.74405999999999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30.43392</f>
        <v>30.433920000000001</v>
      </c>
      <c r="F323" s="29">
        <f>1975.89229</f>
        <v>1975.89229</v>
      </c>
      <c r="G323" s="241">
        <f>D323-F323</f>
        <v>20072.10771</v>
      </c>
      <c r="H323" s="29">
        <f>2203.35244</f>
        <v>2203.3524400000001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31.52</v>
      </c>
      <c r="F324" s="39">
        <f>F323+F322</f>
        <v>3014.2380000000003</v>
      </c>
      <c r="G324" s="39">
        <f>G323+G322</f>
        <v>19281.761999999999</v>
      </c>
      <c r="H324" s="39">
        <f>H323+H322</f>
        <v>2867.0965000000001</v>
      </c>
      <c r="I324" s="26"/>
      <c r="J324" s="127"/>
    </row>
    <row r="325" spans="1:10" ht="22.5" customHeight="1" x14ac:dyDescent="0.2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45&amp;R10.11.2025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2025-11-13T12:51:35Z</dcterms:modified>
</cp:coreProperties>
</file>