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5AC70C94-10DE-4948-A3C9-246609E2F5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1" l="1"/>
  <c r="H119" i="1" s="1"/>
  <c r="G125" i="1"/>
  <c r="H125" i="1" s="1"/>
  <c r="G124" i="1"/>
  <c r="G123" i="1"/>
  <c r="H345" i="1"/>
  <c r="F345" i="1"/>
  <c r="E345" i="1"/>
  <c r="D345" i="1"/>
  <c r="G344" i="1"/>
  <c r="G345" i="1" s="1"/>
  <c r="G343" i="1"/>
  <c r="E336" i="1"/>
  <c r="D324" i="1"/>
  <c r="H323" i="1"/>
  <c r="H324" i="1" s="1"/>
  <c r="F323" i="1"/>
  <c r="F324" i="1" s="1"/>
  <c r="E323" i="1"/>
  <c r="E324" i="1" s="1"/>
  <c r="H322" i="1"/>
  <c r="F322" i="1"/>
  <c r="G322" i="1" s="1"/>
  <c r="E322" i="1"/>
  <c r="E315" i="1"/>
  <c r="D304" i="1"/>
  <c r="H303" i="1"/>
  <c r="F303" i="1"/>
  <c r="G303" i="1" s="1"/>
  <c r="E303" i="1"/>
  <c r="H302" i="1"/>
  <c r="H300" i="1" s="1"/>
  <c r="F302" i="1"/>
  <c r="E302" i="1"/>
  <c r="H301" i="1"/>
  <c r="F301" i="1"/>
  <c r="E301" i="1"/>
  <c r="F300" i="1"/>
  <c r="G300" i="1" s="1"/>
  <c r="E300" i="1"/>
  <c r="H299" i="1"/>
  <c r="F299" i="1"/>
  <c r="E299" i="1"/>
  <c r="E297" i="1" s="1"/>
  <c r="H298" i="1"/>
  <c r="F298" i="1"/>
  <c r="F297" i="1" s="1"/>
  <c r="G297" i="1" s="1"/>
  <c r="E298" i="1"/>
  <c r="H297" i="1"/>
  <c r="H296" i="1"/>
  <c r="H294" i="1" s="1"/>
  <c r="F296" i="1"/>
  <c r="E296" i="1"/>
  <c r="H295" i="1"/>
  <c r="F295" i="1"/>
  <c r="F294" i="1" s="1"/>
  <c r="E295" i="1"/>
  <c r="E294" i="1" s="1"/>
  <c r="E304" i="1" s="1"/>
  <c r="D273" i="1"/>
  <c r="I272" i="1"/>
  <c r="G272" i="1"/>
  <c r="H272" i="1" s="1"/>
  <c r="F272" i="1"/>
  <c r="I271" i="1"/>
  <c r="H271" i="1"/>
  <c r="G271" i="1"/>
  <c r="F271" i="1"/>
  <c r="I270" i="1"/>
  <c r="I268" i="1" s="1"/>
  <c r="G270" i="1"/>
  <c r="F270" i="1"/>
  <c r="F268" i="1" s="1"/>
  <c r="I269" i="1"/>
  <c r="G269" i="1"/>
  <c r="G268" i="1" s="1"/>
  <c r="H268" i="1" s="1"/>
  <c r="F269" i="1"/>
  <c r="I267" i="1"/>
  <c r="G267" i="1"/>
  <c r="H267" i="1" s="1"/>
  <c r="F267" i="1"/>
  <c r="I266" i="1"/>
  <c r="G266" i="1"/>
  <c r="H266" i="1" s="1"/>
  <c r="F266" i="1"/>
  <c r="I265" i="1"/>
  <c r="I262" i="1" s="1"/>
  <c r="I273" i="1" s="1"/>
  <c r="G265" i="1"/>
  <c r="G262" i="1" s="1"/>
  <c r="G273" i="1" s="1"/>
  <c r="F265" i="1"/>
  <c r="F262" i="1" s="1"/>
  <c r="F273" i="1" s="1"/>
  <c r="I264" i="1"/>
  <c r="G264" i="1"/>
  <c r="H264" i="1" s="1"/>
  <c r="F264" i="1"/>
  <c r="I263" i="1"/>
  <c r="G263" i="1"/>
  <c r="H263" i="1" s="1"/>
  <c r="F263" i="1"/>
  <c r="E262" i="1"/>
  <c r="E273" i="1" s="1"/>
  <c r="D262" i="1"/>
  <c r="H254" i="1"/>
  <c r="F254" i="1"/>
  <c r="D251" i="1"/>
  <c r="D250" i="1"/>
  <c r="F241" i="1"/>
  <c r="D241" i="1"/>
  <c r="G241" i="1" s="1"/>
  <c r="H240" i="1"/>
  <c r="F240" i="1"/>
  <c r="G240" i="1" s="1"/>
  <c r="E240" i="1"/>
  <c r="H239" i="1"/>
  <c r="G239" i="1"/>
  <c r="F239" i="1"/>
  <c r="E239" i="1"/>
  <c r="H238" i="1"/>
  <c r="H241" i="1" s="1"/>
  <c r="F238" i="1"/>
  <c r="G238" i="1" s="1"/>
  <c r="E238" i="1"/>
  <c r="H237" i="1"/>
  <c r="G237" i="1"/>
  <c r="F237" i="1"/>
  <c r="E237" i="1"/>
  <c r="E241" i="1" s="1"/>
  <c r="D230" i="1"/>
  <c r="D219" i="1"/>
  <c r="H218" i="1"/>
  <c r="G218" i="1"/>
  <c r="F218" i="1"/>
  <c r="E218" i="1"/>
  <c r="H217" i="1"/>
  <c r="F217" i="1"/>
  <c r="F215" i="1" s="1"/>
  <c r="E217" i="1"/>
  <c r="H216" i="1"/>
  <c r="H215" i="1" s="1"/>
  <c r="H219" i="1" s="1"/>
  <c r="F216" i="1"/>
  <c r="E216" i="1"/>
  <c r="E215" i="1" s="1"/>
  <c r="E219" i="1" s="1"/>
  <c r="D206" i="1"/>
  <c r="H205" i="1"/>
  <c r="F205" i="1"/>
  <c r="G205" i="1" s="1"/>
  <c r="E205" i="1"/>
  <c r="H204" i="1"/>
  <c r="F204" i="1"/>
  <c r="E204" i="1"/>
  <c r="H203" i="1"/>
  <c r="H202" i="1" s="1"/>
  <c r="H206" i="1" s="1"/>
  <c r="F203" i="1"/>
  <c r="E203" i="1"/>
  <c r="E202" i="1" s="1"/>
  <c r="E206" i="1" s="1"/>
  <c r="F202" i="1"/>
  <c r="G202" i="1" s="1"/>
  <c r="I192" i="1"/>
  <c r="E192" i="1"/>
  <c r="H192" i="1" s="1"/>
  <c r="D192" i="1"/>
  <c r="I191" i="1"/>
  <c r="G191" i="1"/>
  <c r="H191" i="1" s="1"/>
  <c r="F191" i="1"/>
  <c r="I190" i="1"/>
  <c r="G190" i="1"/>
  <c r="H190" i="1" s="1"/>
  <c r="F190" i="1"/>
  <c r="I189" i="1"/>
  <c r="G189" i="1"/>
  <c r="G192" i="1" s="1"/>
  <c r="F189" i="1"/>
  <c r="F192" i="1" s="1"/>
  <c r="D169" i="1"/>
  <c r="H168" i="1"/>
  <c r="G168" i="1"/>
  <c r="F168" i="1"/>
  <c r="E168" i="1"/>
  <c r="H167" i="1"/>
  <c r="G167" i="1"/>
  <c r="F167" i="1"/>
  <c r="E167" i="1"/>
  <c r="H166" i="1"/>
  <c r="F166" i="1"/>
  <c r="E166" i="1"/>
  <c r="H165" i="1"/>
  <c r="F165" i="1"/>
  <c r="E165" i="1"/>
  <c r="E163" i="1" s="1"/>
  <c r="H164" i="1"/>
  <c r="F164" i="1"/>
  <c r="F163" i="1" s="1"/>
  <c r="G163" i="1" s="1"/>
  <c r="E164" i="1"/>
  <c r="H163" i="1"/>
  <c r="H162" i="1"/>
  <c r="F162" i="1"/>
  <c r="G162" i="1" s="1"/>
  <c r="E162" i="1"/>
  <c r="H161" i="1"/>
  <c r="F161" i="1"/>
  <c r="E161" i="1"/>
  <c r="H160" i="1"/>
  <c r="H169" i="1" s="1"/>
  <c r="G160" i="1"/>
  <c r="F160" i="1"/>
  <c r="E160" i="1"/>
  <c r="I135" i="1"/>
  <c r="H135" i="1"/>
  <c r="G135" i="1"/>
  <c r="F135" i="1"/>
  <c r="I134" i="1"/>
  <c r="H134" i="1"/>
  <c r="G134" i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H128" i="1" s="1"/>
  <c r="F128" i="1"/>
  <c r="I127" i="1"/>
  <c r="G127" i="1"/>
  <c r="H127" i="1" s="1"/>
  <c r="H126" i="1" s="1"/>
  <c r="F127" i="1"/>
  <c r="I126" i="1"/>
  <c r="F126" i="1"/>
  <c r="F120" i="1" s="1"/>
  <c r="E126" i="1"/>
  <c r="D126" i="1"/>
  <c r="I125" i="1"/>
  <c r="F125" i="1"/>
  <c r="I124" i="1"/>
  <c r="H124" i="1"/>
  <c r="F124" i="1"/>
  <c r="I123" i="1"/>
  <c r="F123" i="1"/>
  <c r="I122" i="1"/>
  <c r="I121" i="1" s="1"/>
  <c r="I120" i="1" s="1"/>
  <c r="H122" i="1"/>
  <c r="G122" i="1"/>
  <c r="F122" i="1"/>
  <c r="F121" i="1"/>
  <c r="E121" i="1"/>
  <c r="E120" i="1" s="1"/>
  <c r="D121" i="1"/>
  <c r="D120" i="1" s="1"/>
  <c r="D137" i="1" s="1"/>
  <c r="I119" i="1"/>
  <c r="F119" i="1"/>
  <c r="I118" i="1"/>
  <c r="G118" i="1"/>
  <c r="H118" i="1" s="1"/>
  <c r="F118" i="1"/>
  <c r="I117" i="1"/>
  <c r="H117" i="1"/>
  <c r="G117" i="1"/>
  <c r="F117" i="1"/>
  <c r="I116" i="1"/>
  <c r="G116" i="1"/>
  <c r="G115" i="1" s="1"/>
  <c r="F116" i="1"/>
  <c r="F115" i="1" s="1"/>
  <c r="I115" i="1"/>
  <c r="E115" i="1"/>
  <c r="E137" i="1" s="1"/>
  <c r="D115" i="1"/>
  <c r="C113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H83" i="1" s="1"/>
  <c r="H82" i="1" s="1"/>
  <c r="G85" i="1"/>
  <c r="F85" i="1"/>
  <c r="F83" i="1" s="1"/>
  <c r="F82" i="1" s="1"/>
  <c r="I84" i="1"/>
  <c r="I83" i="1" s="1"/>
  <c r="I82" i="1" s="1"/>
  <c r="H84" i="1"/>
  <c r="G84" i="1"/>
  <c r="F84" i="1"/>
  <c r="G83" i="1"/>
  <c r="E83" i="1"/>
  <c r="E82" i="1" s="1"/>
  <c r="D83" i="1"/>
  <c r="G82" i="1"/>
  <c r="D82" i="1"/>
  <c r="I81" i="1"/>
  <c r="H81" i="1"/>
  <c r="G81" i="1"/>
  <c r="F81" i="1"/>
  <c r="I80" i="1"/>
  <c r="H80" i="1"/>
  <c r="H79" i="1" s="1"/>
  <c r="G80" i="1"/>
  <c r="G79" i="1" s="1"/>
  <c r="G94" i="1" s="1"/>
  <c r="F80" i="1"/>
  <c r="F79" i="1" s="1"/>
  <c r="F94" i="1" s="1"/>
  <c r="I79" i="1"/>
  <c r="I94" i="1" s="1"/>
  <c r="E79" i="1"/>
  <c r="D79" i="1"/>
  <c r="D94" i="1" s="1"/>
  <c r="C76" i="1"/>
  <c r="H72" i="1"/>
  <c r="F72" i="1"/>
  <c r="D72" i="1"/>
  <c r="H58" i="1"/>
  <c r="H57" i="1"/>
  <c r="I52" i="1"/>
  <c r="G52" i="1"/>
  <c r="G31" i="1" s="1"/>
  <c r="H31" i="1" s="1"/>
  <c r="F52" i="1"/>
  <c r="F31" i="1" s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H36" i="1"/>
  <c r="G36" i="1"/>
  <c r="F36" i="1"/>
  <c r="I35" i="1"/>
  <c r="G35" i="1"/>
  <c r="H35" i="1" s="1"/>
  <c r="F35" i="1"/>
  <c r="I34" i="1"/>
  <c r="G34" i="1"/>
  <c r="G33" i="1" s="1"/>
  <c r="H33" i="1" s="1"/>
  <c r="F34" i="1"/>
  <c r="I33" i="1"/>
  <c r="E33" i="1"/>
  <c r="D33" i="1"/>
  <c r="I32" i="1"/>
  <c r="H32" i="1"/>
  <c r="G32" i="1"/>
  <c r="F32" i="1"/>
  <c r="I31" i="1"/>
  <c r="I30" i="1"/>
  <c r="H30" i="1"/>
  <c r="G30" i="1"/>
  <c r="F30" i="1"/>
  <c r="I29" i="1"/>
  <c r="G29" i="1"/>
  <c r="H29" i="1" s="1"/>
  <c r="F29" i="1"/>
  <c r="I28" i="1"/>
  <c r="G28" i="1"/>
  <c r="H28" i="1" s="1"/>
  <c r="F28" i="1"/>
  <c r="I27" i="1"/>
  <c r="G27" i="1"/>
  <c r="H27" i="1" s="1"/>
  <c r="F27" i="1"/>
  <c r="E26" i="1"/>
  <c r="E25" i="1" s="1"/>
  <c r="D26" i="1"/>
  <c r="D25" i="1"/>
  <c r="I24" i="1"/>
  <c r="G24" i="1"/>
  <c r="H24" i="1" s="1"/>
  <c r="H22" i="1" s="1"/>
  <c r="F24" i="1"/>
  <c r="I23" i="1"/>
  <c r="H23" i="1"/>
  <c r="G23" i="1"/>
  <c r="G22" i="1" s="1"/>
  <c r="F23" i="1"/>
  <c r="F22" i="1" s="1"/>
  <c r="I22" i="1"/>
  <c r="E22" i="1"/>
  <c r="E42" i="1" s="1"/>
  <c r="D22" i="1"/>
  <c r="D42" i="1" s="1"/>
  <c r="H16" i="1"/>
  <c r="F16" i="1"/>
  <c r="D16" i="1"/>
  <c r="G121" i="1" l="1"/>
  <c r="H123" i="1"/>
  <c r="F26" i="1"/>
  <c r="F33" i="1"/>
  <c r="I26" i="1"/>
  <c r="I25" i="1" s="1"/>
  <c r="I42" i="1" s="1"/>
  <c r="H26" i="1"/>
  <c r="H34" i="1"/>
  <c r="H52" i="1"/>
  <c r="G26" i="1"/>
  <c r="G25" i="1" s="1"/>
  <c r="G42" i="1" s="1"/>
  <c r="F304" i="1"/>
  <c r="G304" i="1" s="1"/>
  <c r="G294" i="1"/>
  <c r="H121" i="1"/>
  <c r="H120" i="1" s="1"/>
  <c r="F169" i="1"/>
  <c r="E94" i="1"/>
  <c r="G219" i="1"/>
  <c r="F25" i="1"/>
  <c r="I137" i="1"/>
  <c r="E169" i="1"/>
  <c r="G215" i="1"/>
  <c r="F219" i="1"/>
  <c r="H262" i="1"/>
  <c r="H273" i="1" s="1"/>
  <c r="H304" i="1"/>
  <c r="G169" i="1"/>
  <c r="H25" i="1"/>
  <c r="H42" i="1" s="1"/>
  <c r="F137" i="1"/>
  <c r="F42" i="1"/>
  <c r="H94" i="1"/>
  <c r="G126" i="1"/>
  <c r="H189" i="1"/>
  <c r="F206" i="1"/>
  <c r="G206" i="1" s="1"/>
  <c r="H265" i="1"/>
  <c r="G323" i="1"/>
  <c r="G324" i="1" s="1"/>
  <c r="H116" i="1"/>
  <c r="H115" i="1" s="1"/>
  <c r="H137" i="1" l="1"/>
  <c r="G120" i="1"/>
  <c r="G137" i="1" s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<sst xmlns="http://schemas.openxmlformats.org/spreadsheetml/2006/main" count="393" uniqueCount="167">
  <si>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</si>
  <si>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</si>
  <si>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</si>
  <si>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</si>
  <si>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</si>
  <si>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</si>
  <si>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</si>
  <si>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</si>
  <si>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</si>
  <si>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</si>
  <si>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</si>
  <si>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</si>
  <si>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</si>
  <si>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</si>
  <si>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</si>
  <si>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</si>
  <si>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</si>
  <si>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</si>
  <si>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</si>
  <si>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</si>
  <si>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</si>
  <si>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</si>
  <si>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</si>
  <si>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</si>
  <si>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</si>
  <si>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</si>
  <si>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</si>
  <si>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</si>
  <si>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</si>
  <si>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</si>
  <si>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</si>
  <si>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</si>
  <si>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</si>
  <si>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</si>
  <si>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</si>
  <si>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</si>
  <si>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</si>
  <si>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</si>
  <si>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</si>
  <si>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</si>
  <si>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</si>
  <si>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</si>
  <si>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</si>
  <si>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</si>
  <si>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</si>
  <si>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</si>
  <si>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</si>
  <si>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</si>
  <si>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</si>
  <si>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</si>
  <si>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</si>
  <si>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</si>
  <si>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</si>
  <si>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</si>
  <si>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</si>
  <si>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</si>
  <si>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</si>
  <si>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</si>
  <si>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</si>
  <si>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</si>
  <si>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</si>
  <si>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</si>
  <si>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</si>
  <si>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</si>
  <si>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</si>
  <si>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</si>
  <si>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</si>
  <si>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</si>
  <si>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</si>
  <si>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</si>
  <si>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</si>
  <si>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</si>
  <si>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</si>
  <si>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</si>
  <si>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</si>
  <si>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</si>
  <si>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</si>
  <si>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</si>
  <si>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</si>
  <si>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</si>
  <si>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</si>
  <si>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</si>
  <si>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</si>
  <si>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</si>
  <si>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</si>
  <si>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</si>
  <si>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</si>
  <si>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</si>
  <si>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</si>
  <si>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</si>
  <si>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</si>
  <si>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</si>
  <si>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</si>
  <si>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</si>
  <si>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</si>
  <si>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</si>
  <si>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</si>
  <si>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</si>
  <si>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</si>
  <si>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</si>
  <si>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</si>
  <si>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</si>
  <si>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</si>
  <si>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</si>
  <si>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</si>
  <si>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</si>
  <si>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</si>
  <si>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</si>
  <si>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</si>
  <si>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</si>
  <si>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</si>
  <si>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</si>
  <si>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</si>
  <si>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</si>
  <si>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</si>
  <si>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</si>
  <si>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</si>
  <si>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</si>
  <si>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</si>
  <si>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</si>
  <si>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</si>
  <si>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</si>
  <si>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</si>
  <si>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</si>
  <si>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</si>
  <si>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</si>
  <si>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</si>
  <si>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</si>
  <si>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</si>
  <si>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</si>
  <si>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</si>
  <si>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</si>
  <si>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</si>
  <si>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</si>
  <si>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</si>
  <si>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</si>
  <si>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</si>
  <si>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</si>
  <si>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</si>
  <si>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</si>
  <si>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</si>
  <si>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</si>
  <si>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</si>
  <si>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</si>
  <si>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</si>
  <si>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</si>
  <si>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</si>
  <si>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</si>
  <si>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</si>
  <si>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</si>
  <si>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</si>
  <si>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</si>
  <si>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</si>
  <si>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</si>
  <si>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</si>
  <si>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</si>
  <si>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</si>
  <si>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</si>
  <si>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</si>
  <si>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2 Registrert rekreasjonsfiske utgjør 54 tonn, men det legges til grunn at hele avsetningen tas</t>
  </si>
  <si>
    <t>4 Registrert rekreasjonsfiske utgjør 406 tonn, men det legges til grunn at hele avsetningen tas</t>
  </si>
  <si>
    <t>3 Registrert rekreasjonsfiske utgjør 778 tonn, men det legges til grunn at hele avsetningen tas</t>
  </si>
  <si>
    <t>FANGST UKE 48</t>
  </si>
  <si>
    <t>FANGST T.O.M UKE 48</t>
  </si>
  <si>
    <t>RESTKVOTER UKE 48</t>
  </si>
  <si>
    <t>FANGST T.O.M UKE 48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</si>
  <si>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4 570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</si>
</sst>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sz val="8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0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135" zoomScale="112" zoomScaleNormal="55" zoomScaleSheetLayoutView="100" zoomScalePageLayoutView="85" workbookViewId="0">
      <selection activeCell="C139" sqref="C139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13" t="s">
        <v>120</v>
      </c>
      <c r="C2" s="314"/>
      <c r="D2" s="314"/>
      <c r="E2" s="314"/>
      <c r="F2" s="314"/>
      <c r="G2" s="314"/>
      <c r="H2" s="314"/>
      <c r="I2" s="314"/>
      <c r="J2" s="315"/>
    </row>
    <row r="3" spans="1:10" ht="14.9" customHeight="1" x14ac:dyDescent="0.35">
      <c r="A3" s="1"/>
      <c r="B3" s="1"/>
      <c r="C3" s="1" t="s">
        <v>109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109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109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109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109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16"/>
      <c r="C9" s="317"/>
      <c r="D9" s="317"/>
      <c r="E9" s="317"/>
      <c r="F9" s="317"/>
      <c r="G9" s="317"/>
      <c r="H9" s="317"/>
      <c r="I9" s="317"/>
      <c r="J9" s="318"/>
    </row>
    <row r="10" spans="1:10" ht="12" customHeight="1" x14ac:dyDescent="0.3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19" t="s">
        <v>1</v>
      </c>
      <c r="D11" s="320"/>
      <c r="E11" s="319" t="s">
        <v>2</v>
      </c>
      <c r="F11" s="320"/>
      <c r="G11" s="319" t="s">
        <v>3</v>
      </c>
      <c r="H11" s="320"/>
      <c r="I11" s="173"/>
      <c r="J11" s="267"/>
    </row>
    <row r="12" spans="1:10" ht="14.15" customHeight="1" x14ac:dyDescent="0.3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35">
      <c r="A13" s="1"/>
      <c r="B13" s="277"/>
      <c r="C13" s="110" t="s">
        <v>80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3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35">
      <c r="A15" s="1"/>
      <c r="B15" s="277"/>
      <c r="C15" s="110" t="s">
        <v>70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5" customHeight="1" x14ac:dyDescent="0.3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35">
      <c r="A17" s="101"/>
      <c r="B17" s="24"/>
      <c r="C17" s="325" t="s">
        <v>140</v>
      </c>
      <c r="D17" s="325"/>
      <c r="E17" s="325"/>
      <c r="F17" s="325"/>
      <c r="G17" s="325"/>
      <c r="H17" s="325"/>
      <c r="I17" s="101"/>
      <c r="J17" s="157"/>
    </row>
    <row r="18" spans="1:10" ht="15" customHeight="1" x14ac:dyDescent="0.3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3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3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162</v>
      </c>
      <c r="G21" s="68" t="s">
        <v>163</v>
      </c>
      <c r="H21" s="68" t="s">
        <v>164</v>
      </c>
      <c r="I21" s="68" t="s">
        <v>165</v>
      </c>
      <c r="J21" s="301"/>
    </row>
    <row r="22" spans="1:10" ht="14.15" customHeight="1" x14ac:dyDescent="0.35">
      <c r="A22" s="1"/>
      <c r="B22" s="277"/>
      <c r="C22" s="15" t="s">
        <v>19</v>
      </c>
      <c r="D22" s="27">
        <f>D23+D24</f>
        <v>38790</v>
      </c>
      <c r="E22" s="27">
        <f>E23+E24</f>
        <v>41587</v>
      </c>
      <c r="F22" s="27">
        <f t="shared" ref="F22:I22" si="0">F24+F23</f>
        <v>184.48770000000002</v>
      </c>
      <c r="G22" s="27">
        <f t="shared" si="0"/>
        <v>33132.236140000001</v>
      </c>
      <c r="H22" s="10">
        <f t="shared" si="0"/>
        <v>8454.7638600000009</v>
      </c>
      <c r="I22" s="10">
        <f t="shared" si="0"/>
        <v>50645.999810000001</v>
      </c>
      <c r="J22" s="267"/>
    </row>
    <row r="23" spans="1:10" ht="14.15" customHeight="1" x14ac:dyDescent="0.35">
      <c r="A23" s="1"/>
      <c r="B23" s="277"/>
      <c r="C23" s="43" t="s">
        <v>20</v>
      </c>
      <c r="D23" s="44">
        <v>38040</v>
      </c>
      <c r="E23" s="44">
        <v>40825</v>
      </c>
      <c r="F23" s="22">
        <f>181.6467</f>
        <v>181.64670000000001</v>
      </c>
      <c r="G23" s="22">
        <f>32668.28809</f>
        <v>32668.288089999998</v>
      </c>
      <c r="H23" s="22">
        <f>E23-G23</f>
        <v>8156.7119100000018</v>
      </c>
      <c r="I23" s="22">
        <f>50087.14559</f>
        <v>50087.14559</v>
      </c>
      <c r="J23" s="267"/>
    </row>
    <row r="24" spans="1:10" ht="14.15" customHeight="1" x14ac:dyDescent="0.35">
      <c r="A24" s="1"/>
      <c r="B24" s="277"/>
      <c r="C24" s="47" t="s">
        <v>21</v>
      </c>
      <c r="D24" s="218">
        <v>750</v>
      </c>
      <c r="E24" s="218">
        <v>762</v>
      </c>
      <c r="F24" s="165">
        <f>2.841</f>
        <v>2.8410000000000002</v>
      </c>
      <c r="G24" s="22">
        <f>463.94805</f>
        <v>463.94805000000002</v>
      </c>
      <c r="H24" s="22">
        <f>E24-G24</f>
        <v>298.05194999999998</v>
      </c>
      <c r="I24" s="22">
        <f>558.85422</f>
        <v>558.85422000000005</v>
      </c>
      <c r="J24" s="267"/>
    </row>
    <row r="25" spans="1:10" ht="14.15" customHeight="1" x14ac:dyDescent="0.35">
      <c r="A25" s="1"/>
      <c r="B25" s="277"/>
      <c r="C25" s="15" t="s">
        <v>22</v>
      </c>
      <c r="D25" s="27">
        <f>D26+D32+D33</f>
        <v>112662</v>
      </c>
      <c r="E25" s="27">
        <f>E26+E32+E33</f>
        <v>121732</v>
      </c>
      <c r="F25" s="27">
        <f t="shared" ref="F25:I25" si="1">F33+F32+F26</f>
        <v>2008.8814299999999</v>
      </c>
      <c r="G25" s="10">
        <f t="shared" si="1"/>
        <v>114889.20302</v>
      </c>
      <c r="H25" s="10">
        <f t="shared" si="1"/>
        <v>6842.796980000001</v>
      </c>
      <c r="I25" s="10">
        <f t="shared" si="1"/>
        <v>132600.40362</v>
      </c>
      <c r="J25" s="267"/>
    </row>
    <row r="26" spans="1:10" ht="15" customHeight="1" x14ac:dyDescent="0.3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94863</v>
      </c>
      <c r="F26" s="129">
        <f>F27+F28+F29+F30+F31</f>
        <v>1010.6025099999999</v>
      </c>
      <c r="G26" s="129">
        <f>G27+G28+G29+G30+G31</f>
        <v>90738.790399999998</v>
      </c>
      <c r="H26" s="129">
        <f t="shared" ref="H26:I26" si="2">H27+H28+H29+H30+H31</f>
        <v>4124.209600000002</v>
      </c>
      <c r="I26" s="129">
        <f t="shared" si="2"/>
        <v>105909.71701000001</v>
      </c>
      <c r="J26" s="267"/>
    </row>
    <row r="27" spans="1:10" ht="14.15" customHeight="1" x14ac:dyDescent="0.35">
      <c r="A27" s="192"/>
      <c r="B27" s="176"/>
      <c r="C27" s="60" t="s">
        <v>24</v>
      </c>
      <c r="D27" s="61">
        <v>22698</v>
      </c>
      <c r="E27" s="61">
        <v>25143</v>
      </c>
      <c r="F27" s="209">
        <f>376.09002 - F53</f>
        <v>154.09001999999998</v>
      </c>
      <c r="G27" s="123">
        <f>25383.48286 - G53</f>
        <v>23257.48286</v>
      </c>
      <c r="H27" s="123">
        <f t="shared" ref="H27:H39" si="3">E27-G27</f>
        <v>1885.5171399999999</v>
      </c>
      <c r="I27" s="123">
        <f>27848.75551 - I53</f>
        <v>26207.755509999999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22717</v>
      </c>
      <c r="E28" s="61">
        <v>23988</v>
      </c>
      <c r="F28" s="123">
        <f>341.40263 - F54</f>
        <v>146.40262999999999</v>
      </c>
      <c r="G28" s="123">
        <f>25291.30921 - G54</f>
        <v>23096.309209999999</v>
      </c>
      <c r="H28" s="123">
        <f t="shared" si="3"/>
        <v>891.69079000000056</v>
      </c>
      <c r="I28" s="123">
        <f>30404.53981 - I54</f>
        <v>28401.539809999998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20660</v>
      </c>
      <c r="E29" s="61">
        <v>21861</v>
      </c>
      <c r="F29" s="123">
        <f>245.46922 - F55</f>
        <v>184.46922000000001</v>
      </c>
      <c r="G29" s="123">
        <f>23518.29337 - G55</f>
        <v>21843.293369999999</v>
      </c>
      <c r="H29" s="123">
        <f t="shared" si="3"/>
        <v>17.706630000000587</v>
      </c>
      <c r="I29" s="123">
        <f>27351.94936 - I55</f>
        <v>25943.949359999999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15189</v>
      </c>
      <c r="E30" s="61">
        <v>15640</v>
      </c>
      <c r="F30" s="123">
        <f>47.64064 - F56</f>
        <v>20.640639999999998</v>
      </c>
      <c r="G30" s="123">
        <f>16545.70496 - G56</f>
        <v>15522.704959999999</v>
      </c>
      <c r="H30" s="123">
        <f t="shared" si="3"/>
        <v>117.29504000000088</v>
      </c>
      <c r="I30" s="123">
        <f>20304.47233 - I56</f>
        <v>19076.472330000001</v>
      </c>
      <c r="J30" s="63"/>
    </row>
    <row r="31" spans="1:10" ht="14.15" customHeight="1" x14ac:dyDescent="0.35">
      <c r="A31" s="192"/>
      <c r="B31" s="176"/>
      <c r="C31" s="60" t="s">
        <v>157</v>
      </c>
      <c r="D31" s="61">
        <v>7872</v>
      </c>
      <c r="E31" s="61">
        <v>8231</v>
      </c>
      <c r="F31" s="123">
        <f>F52</f>
        <v>505</v>
      </c>
      <c r="G31" s="123">
        <f>G52</f>
        <v>7019</v>
      </c>
      <c r="H31" s="123">
        <f>E31-G31</f>
        <v>1212</v>
      </c>
      <c r="I31" s="123">
        <f>I52</f>
        <v>6280</v>
      </c>
      <c r="J31" s="63"/>
    </row>
    <row r="32" spans="1:10" ht="14.15" customHeight="1" x14ac:dyDescent="0.35">
      <c r="A32" s="64"/>
      <c r="B32" s="51"/>
      <c r="C32" s="54" t="s">
        <v>28</v>
      </c>
      <c r="D32" s="55">
        <v>12692</v>
      </c>
      <c r="E32" s="55">
        <v>13691</v>
      </c>
      <c r="F32" s="129">
        <f>812.3625</f>
        <v>812.36249999999995</v>
      </c>
      <c r="G32" s="129">
        <f>11605.20685</f>
        <v>11605.20685</v>
      </c>
      <c r="H32" s="129">
        <f t="shared" si="3"/>
        <v>2085.7931499999995</v>
      </c>
      <c r="I32" s="129">
        <f>14084.1362</f>
        <v>14084.136200000001</v>
      </c>
      <c r="J32" s="63"/>
    </row>
    <row r="33" spans="1:10" ht="14.15" customHeight="1" x14ac:dyDescent="0.35">
      <c r="A33" s="64"/>
      <c r="B33" s="51"/>
      <c r="C33" s="54" t="s">
        <v>29</v>
      </c>
      <c r="D33" s="55">
        <f>D34+D35</f>
        <v>10834</v>
      </c>
      <c r="E33" s="55">
        <f>E34+E35</f>
        <v>13178</v>
      </c>
      <c r="F33" s="129">
        <f>F34+F35</f>
        <v>185.91641999999999</v>
      </c>
      <c r="G33" s="129">
        <f>G34+G35</f>
        <v>12545.20577</v>
      </c>
      <c r="H33" s="129">
        <f t="shared" si="3"/>
        <v>632.79422999999952</v>
      </c>
      <c r="I33" s="129">
        <f>I34+I35</f>
        <v>12606.55041</v>
      </c>
      <c r="J33" s="63"/>
    </row>
    <row r="34" spans="1:10" ht="14.15" customHeight="1" x14ac:dyDescent="0.35">
      <c r="A34" s="192"/>
      <c r="B34" s="176"/>
      <c r="C34" s="60" t="s">
        <v>30</v>
      </c>
      <c r="D34" s="61">
        <v>9874</v>
      </c>
      <c r="E34" s="61">
        <v>12218</v>
      </c>
      <c r="F34" s="123">
        <f>209.91642 - F57 - F58</f>
        <v>58.916419999999988</v>
      </c>
      <c r="G34" s="129">
        <f>14800.20577 - G57 - G58</f>
        <v>11235.20577</v>
      </c>
      <c r="H34" s="123">
        <f t="shared" si="3"/>
        <v>982.79422999999952</v>
      </c>
      <c r="I34" s="123">
        <f>15520.55041 - I57 - I58</f>
        <v>11707.55041</v>
      </c>
      <c r="J34" s="63"/>
    </row>
    <row r="35" spans="1:10" ht="14.15" customHeight="1" x14ac:dyDescent="0.35">
      <c r="A35" s="192"/>
      <c r="B35" s="176"/>
      <c r="C35" s="66" t="s">
        <v>31</v>
      </c>
      <c r="D35" s="220">
        <v>960</v>
      </c>
      <c r="E35" s="220">
        <v>960</v>
      </c>
      <c r="F35" s="67">
        <f>F57</f>
        <v>127</v>
      </c>
      <c r="G35" s="67">
        <f>G57</f>
        <v>1310</v>
      </c>
      <c r="H35" s="67">
        <f t="shared" si="3"/>
        <v>-350</v>
      </c>
      <c r="I35" s="67">
        <f>I57</f>
        <v>899</v>
      </c>
      <c r="J35" s="63"/>
    </row>
    <row r="36" spans="1:10" ht="15.75" customHeight="1" x14ac:dyDescent="0.35">
      <c r="A36" s="1"/>
      <c r="B36" s="277"/>
      <c r="C36" s="70" t="s">
        <v>32</v>
      </c>
      <c r="D36" s="140">
        <v>1000</v>
      </c>
      <c r="E36" s="140">
        <v>1000</v>
      </c>
      <c r="F36" s="136">
        <f>0</f>
        <v>0</v>
      </c>
      <c r="G36" s="136">
        <f>280.2564</f>
        <v>280.25639999999999</v>
      </c>
      <c r="H36" s="136">
        <f t="shared" si="3"/>
        <v>719.74360000000001</v>
      </c>
      <c r="I36" s="136">
        <f>348.3612</f>
        <v>348.3612</v>
      </c>
      <c r="J36" s="267"/>
    </row>
    <row r="37" spans="1:10" ht="14.15" customHeight="1" x14ac:dyDescent="0.35">
      <c r="A37" s="1"/>
      <c r="B37" s="277"/>
      <c r="C37" s="70" t="s">
        <v>33</v>
      </c>
      <c r="D37" s="140">
        <v>855</v>
      </c>
      <c r="E37" s="140">
        <v>855</v>
      </c>
      <c r="F37" s="95">
        <f>77.4257</f>
        <v>77.425700000000006</v>
      </c>
      <c r="G37" s="95">
        <f>736.12687</f>
        <v>736.12687000000005</v>
      </c>
      <c r="H37" s="95">
        <f t="shared" si="3"/>
        <v>118.87312999999995</v>
      </c>
      <c r="I37" s="95">
        <f>521.71696</f>
        <v>521.71695999999997</v>
      </c>
      <c r="J37" s="267"/>
    </row>
    <row r="38" spans="1:10" ht="17.25" customHeight="1" x14ac:dyDescent="0.35">
      <c r="A38" s="1"/>
      <c r="B38" s="277"/>
      <c r="C38" s="70" t="s">
        <v>34</v>
      </c>
      <c r="D38" s="140">
        <v>3000</v>
      </c>
      <c r="E38" s="140">
        <v>3000</v>
      </c>
      <c r="F38" s="95">
        <f>F58</f>
        <v>24</v>
      </c>
      <c r="G38" s="95">
        <f>G58</f>
        <v>2255</v>
      </c>
      <c r="H38" s="95">
        <f t="shared" si="3"/>
        <v>745</v>
      </c>
      <c r="I38" s="95">
        <f>I58</f>
        <v>2914</v>
      </c>
      <c r="J38" s="267"/>
    </row>
    <row r="39" spans="1:10" ht="17.25" customHeight="1" x14ac:dyDescent="0.35">
      <c r="A39" s="1"/>
      <c r="B39" s="277"/>
      <c r="C39" s="70" t="s">
        <v>35</v>
      </c>
      <c r="D39" s="140">
        <v>7000</v>
      </c>
      <c r="E39" s="140">
        <v>7000</v>
      </c>
      <c r="F39" s="95">
        <f>4.09192</f>
        <v>4.09192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35">
      <c r="A40" s="1"/>
      <c r="B40" s="277"/>
      <c r="C40" s="70" t="s">
        <v>37</v>
      </c>
      <c r="D40" s="140">
        <v>450</v>
      </c>
      <c r="E40" s="140">
        <v>450</v>
      </c>
      <c r="F40" s="95">
        <f>1.68772</f>
        <v>1.6877200000000001</v>
      </c>
      <c r="G40" s="95">
        <f>391.11419</f>
        <v>391.11419000000001</v>
      </c>
      <c r="H40" s="95">
        <f>E40-G40</f>
        <v>58.885809999999992</v>
      </c>
      <c r="I40" s="95">
        <f>357.0007</f>
        <v>357.00069999999999</v>
      </c>
      <c r="J40" s="267"/>
    </row>
    <row r="41" spans="1:10" ht="14.15" customHeight="1" x14ac:dyDescent="0.35">
      <c r="A41" s="1"/>
      <c r="B41" s="277"/>
      <c r="C41" s="70" t="s">
        <v>38</v>
      </c>
      <c r="D41" s="140"/>
      <c r="E41" s="136"/>
      <c r="F41" s="136">
        <f>0</f>
        <v>0</v>
      </c>
      <c r="G41" s="136">
        <f>189.41437</f>
        <v>189.41436999999999</v>
      </c>
      <c r="H41" s="136">
        <f t="shared" ref="H41" si="4">E41-G41</f>
        <v>-189.41436999999999</v>
      </c>
      <c r="I41" s="136">
        <f>143.26176</f>
        <v>143.26176000000001</v>
      </c>
      <c r="J41" s="267"/>
    </row>
    <row r="42" spans="1:10" ht="16.5" customHeight="1" x14ac:dyDescent="0.35">
      <c r="A42" s="1"/>
      <c r="B42" s="277"/>
      <c r="C42" s="71" t="s">
        <v>39</v>
      </c>
      <c r="D42" s="73">
        <f>D22+D25+D36+D37+D38+D39+D40+D41</f>
        <v>163757</v>
      </c>
      <c r="E42" s="73">
        <f>E22+E25+E36+E37+E38+E39+E40+E41</f>
        <v>175624</v>
      </c>
      <c r="F42" s="73">
        <f t="shared" ref="F42:I42" si="5">F22+F25+F36+F37+F38+F39+F40+F41</f>
        <v>2300.5744699999996</v>
      </c>
      <c r="G42" s="73">
        <f t="shared" si="5"/>
        <v>158873.35099000004</v>
      </c>
      <c r="H42" s="73">
        <f t="shared" si="5"/>
        <v>16750.649010000001</v>
      </c>
      <c r="I42" s="73">
        <f t="shared" si="5"/>
        <v>194530.74405000001</v>
      </c>
      <c r="J42" s="267"/>
    </row>
    <row r="43" spans="1:10" ht="14.15" customHeight="1" x14ac:dyDescent="0.35">
      <c r="A43" s="101"/>
      <c r="B43" s="24"/>
      <c r="C43" s="74" t="s">
        <v>121</v>
      </c>
      <c r="D43" s="216"/>
      <c r="E43" s="216"/>
      <c r="F43" s="76"/>
      <c r="G43" s="76"/>
      <c r="H43" s="251"/>
      <c r="I43" s="251"/>
      <c r="J43" s="77"/>
    </row>
    <row r="44" spans="1:10" ht="14.15" customHeight="1" x14ac:dyDescent="0.35">
      <c r="A44" s="101"/>
      <c r="B44" s="24"/>
      <c r="C44" s="78" t="s">
        <v>156</v>
      </c>
      <c r="D44" s="216"/>
      <c r="E44" s="216"/>
      <c r="F44" s="216"/>
      <c r="G44" s="76"/>
      <c r="H44" s="173"/>
      <c r="I44" s="173"/>
      <c r="J44" s="267"/>
    </row>
    <row r="45" spans="1:10" ht="14.15" customHeight="1" x14ac:dyDescent="0.35">
      <c r="A45" s="101"/>
      <c r="B45" s="24"/>
      <c r="C45" s="156" t="s">
        <v>161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136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35">
      <c r="A49" s="101"/>
      <c r="B49" s="24"/>
      <c r="C49" s="328" t="s">
        <v>158</v>
      </c>
      <c r="D49" s="328"/>
      <c r="E49" s="328"/>
      <c r="F49" s="328"/>
      <c r="G49" s="328"/>
      <c r="H49" s="328"/>
      <c r="I49" s="80"/>
      <c r="J49" s="81"/>
    </row>
    <row r="50" spans="1:10" ht="16.5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41</v>
      </c>
      <c r="E51" s="68" t="s">
        <v>118</v>
      </c>
      <c r="F51" s="68" t="s">
        <v>162</v>
      </c>
      <c r="G51" s="68" t="s">
        <v>163</v>
      </c>
      <c r="H51" s="68" t="s">
        <v>164</v>
      </c>
      <c r="I51" s="68" t="s">
        <v>165</v>
      </c>
      <c r="J51" s="267"/>
    </row>
    <row r="52" spans="1:10" ht="14.15" customHeight="1" x14ac:dyDescent="0.35">
      <c r="A52" s="101"/>
      <c r="B52" s="24"/>
      <c r="C52" s="15" t="s">
        <v>42</v>
      </c>
      <c r="D52" s="329">
        <v>7872</v>
      </c>
      <c r="E52" s="329">
        <v>8231</v>
      </c>
      <c r="F52" s="10">
        <f>F56+F55+F54+F53</f>
        <v>505</v>
      </c>
      <c r="G52" s="10">
        <f>G56+G55+G54+G53</f>
        <v>7019</v>
      </c>
      <c r="H52" s="329">
        <f>E52-G52</f>
        <v>1212</v>
      </c>
      <c r="I52" s="10">
        <f>I56+I55+I54+I53</f>
        <v>6280</v>
      </c>
      <c r="J52" s="117"/>
    </row>
    <row r="53" spans="1:10" ht="14.15" customHeight="1" x14ac:dyDescent="0.35">
      <c r="A53" s="101"/>
      <c r="B53" s="24"/>
      <c r="C53" s="60" t="s">
        <v>24</v>
      </c>
      <c r="D53" s="330"/>
      <c r="E53" s="330"/>
      <c r="F53" s="123">
        <v>222</v>
      </c>
      <c r="G53" s="123">
        <v>2126</v>
      </c>
      <c r="H53" s="330"/>
      <c r="I53" s="123">
        <v>1641</v>
      </c>
      <c r="J53" s="117"/>
    </row>
    <row r="54" spans="1:10" ht="14.15" customHeight="1" x14ac:dyDescent="0.35">
      <c r="A54" s="101"/>
      <c r="B54" s="24"/>
      <c r="C54" s="60" t="s">
        <v>25</v>
      </c>
      <c r="D54" s="330"/>
      <c r="E54" s="330"/>
      <c r="F54" s="123">
        <v>195</v>
      </c>
      <c r="G54" s="123">
        <v>2195</v>
      </c>
      <c r="H54" s="330"/>
      <c r="I54" s="123">
        <v>2003</v>
      </c>
      <c r="J54" s="267"/>
    </row>
    <row r="55" spans="1:10" ht="14.15" customHeight="1" x14ac:dyDescent="0.35">
      <c r="A55" s="101"/>
      <c r="B55" s="24"/>
      <c r="C55" s="60" t="s">
        <v>26</v>
      </c>
      <c r="D55" s="330"/>
      <c r="E55" s="330"/>
      <c r="F55" s="123">
        <v>61</v>
      </c>
      <c r="G55" s="123">
        <v>1675</v>
      </c>
      <c r="H55" s="330"/>
      <c r="I55" s="123">
        <v>1408</v>
      </c>
      <c r="J55" s="117"/>
    </row>
    <row r="56" spans="1:10" ht="14.15" customHeight="1" x14ac:dyDescent="0.35">
      <c r="A56" s="101"/>
      <c r="B56" s="24"/>
      <c r="C56" s="84" t="s">
        <v>27</v>
      </c>
      <c r="D56" s="331"/>
      <c r="E56" s="331"/>
      <c r="F56" s="186">
        <v>27</v>
      </c>
      <c r="G56" s="186">
        <v>1023</v>
      </c>
      <c r="H56" s="331"/>
      <c r="I56" s="186">
        <v>1228</v>
      </c>
      <c r="J56" s="117"/>
    </row>
    <row r="57" spans="1:10" ht="14.15" customHeight="1" x14ac:dyDescent="0.35">
      <c r="A57" s="101"/>
      <c r="B57" s="24"/>
      <c r="C57" s="85" t="s">
        <v>43</v>
      </c>
      <c r="D57" s="92">
        <v>960</v>
      </c>
      <c r="E57" s="92">
        <v>960</v>
      </c>
      <c r="F57" s="92">
        <v>127</v>
      </c>
      <c r="G57" s="92">
        <v>1310</v>
      </c>
      <c r="H57" s="92">
        <f>E57-G57</f>
        <v>-350</v>
      </c>
      <c r="I57" s="92">
        <v>899</v>
      </c>
      <c r="J57" s="267"/>
    </row>
    <row r="58" spans="1:10" ht="14.15" customHeight="1" x14ac:dyDescent="0.35">
      <c r="A58" s="101"/>
      <c r="B58" s="24"/>
      <c r="C58" s="139" t="s">
        <v>44</v>
      </c>
      <c r="D58" s="136">
        <v>3000</v>
      </c>
      <c r="E58" s="136">
        <v>3000</v>
      </c>
      <c r="F58" s="136">
        <v>24</v>
      </c>
      <c r="G58" s="136">
        <v>2255</v>
      </c>
      <c r="H58" s="136">
        <f>E58-G58</f>
        <v>745</v>
      </c>
      <c r="I58" s="136">
        <v>2914</v>
      </c>
      <c r="J58" s="117"/>
    </row>
    <row r="59" spans="1:10" ht="14.15" customHeight="1" x14ac:dyDescent="0.35">
      <c r="A59" s="101"/>
      <c r="B59" s="24"/>
      <c r="C59" s="74" t="s">
        <v>122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19" t="s">
        <v>1</v>
      </c>
      <c r="D68" s="320"/>
      <c r="E68" s="319" t="s">
        <v>2</v>
      </c>
      <c r="F68" s="332"/>
      <c r="G68" s="319" t="s">
        <v>3</v>
      </c>
      <c r="H68" s="320"/>
      <c r="I68" s="173"/>
      <c r="J68" s="267"/>
    </row>
    <row r="69" spans="1:10" ht="15" customHeight="1" x14ac:dyDescent="0.35">
      <c r="B69" s="277"/>
      <c r="C69" s="110" t="s">
        <v>139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3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5" customHeight="1" x14ac:dyDescent="0.35">
      <c r="B71" s="277"/>
      <c r="C71" s="110" t="s">
        <v>70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35">
      <c r="B72" s="277"/>
      <c r="C72" s="172" t="s">
        <v>46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35">
      <c r="A73" s="1"/>
      <c r="B73" s="277"/>
      <c r="C73" s="101" t="s">
        <v>141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3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5" customHeight="1" x14ac:dyDescent="0.3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3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35">
      <c r="A78" s="1"/>
      <c r="B78" s="277"/>
      <c r="C78" s="14" t="s">
        <v>16</v>
      </c>
      <c r="D78" s="113" t="s">
        <v>17</v>
      </c>
      <c r="E78" s="14" t="s">
        <v>47</v>
      </c>
      <c r="F78" s="14" t="s">
        <v>162</v>
      </c>
      <c r="G78" s="14" t="s">
        <v>163</v>
      </c>
      <c r="H78" s="14" t="s">
        <v>164</v>
      </c>
      <c r="I78" s="14" t="s">
        <v>165</v>
      </c>
      <c r="J78" s="117"/>
    </row>
    <row r="79" spans="1:10" ht="14.15" customHeight="1" x14ac:dyDescent="0.35">
      <c r="A79" s="1"/>
      <c r="B79" s="277"/>
      <c r="C79" s="31" t="s">
        <v>19</v>
      </c>
      <c r="D79" s="27">
        <f>D80+D81</f>
        <v>24966</v>
      </c>
      <c r="E79" s="27">
        <f>E81+E80</f>
        <v>26122</v>
      </c>
      <c r="F79" s="10">
        <f t="shared" ref="F79:I79" si="6">F81+F80</f>
        <v>27.0396</v>
      </c>
      <c r="G79" s="10">
        <f t="shared" si="6"/>
        <v>23236.659720000003</v>
      </c>
      <c r="H79" s="10">
        <f t="shared" si="6"/>
        <v>2885.3402799999985</v>
      </c>
      <c r="I79" s="10">
        <f t="shared" si="6"/>
        <v>24884.612290000001</v>
      </c>
      <c r="J79" s="267"/>
    </row>
    <row r="80" spans="1:10" ht="15" customHeight="1" x14ac:dyDescent="0.35">
      <c r="A80" s="1"/>
      <c r="B80" s="277"/>
      <c r="C80" s="43" t="s">
        <v>20</v>
      </c>
      <c r="D80" s="44">
        <v>24216</v>
      </c>
      <c r="E80" s="44">
        <v>25297</v>
      </c>
      <c r="F80" s="22">
        <f>25.501</f>
        <v>25.501000000000001</v>
      </c>
      <c r="G80" s="22">
        <f>22677.95486</f>
        <v>22677.954860000002</v>
      </c>
      <c r="H80" s="22">
        <f>E80-G80</f>
        <v>2619.0451399999984</v>
      </c>
      <c r="I80" s="22">
        <f>24081.21494</f>
        <v>24081.214940000002</v>
      </c>
      <c r="J80" s="267"/>
    </row>
    <row r="81" spans="1:10" ht="14.15" customHeight="1" x14ac:dyDescent="0.35">
      <c r="A81" s="1"/>
      <c r="B81" s="277"/>
      <c r="C81" s="62" t="s">
        <v>21</v>
      </c>
      <c r="D81" s="218">
        <v>750</v>
      </c>
      <c r="E81" s="218">
        <v>825</v>
      </c>
      <c r="F81" s="48">
        <f>1.5386</f>
        <v>1.5386</v>
      </c>
      <c r="G81" s="48">
        <f>558.70486</f>
        <v>558.70486000000005</v>
      </c>
      <c r="H81" s="48">
        <f>E81-G81</f>
        <v>266.29513999999995</v>
      </c>
      <c r="I81" s="48">
        <f>803.39735</f>
        <v>803.39734999999996</v>
      </c>
      <c r="J81" s="267"/>
    </row>
    <row r="82" spans="1:10" ht="15.75" customHeight="1" x14ac:dyDescent="0.35">
      <c r="A82" s="1"/>
      <c r="B82" s="50"/>
      <c r="C82" s="15" t="s">
        <v>22</v>
      </c>
      <c r="D82" s="27">
        <f>D83+D88+D89</f>
        <v>41062</v>
      </c>
      <c r="E82" s="27">
        <f>E83+E88+E89</f>
        <v>44110</v>
      </c>
      <c r="F82" s="10">
        <f t="shared" ref="F82:I82" si="7">F83+F88+F89</f>
        <v>809.63720999999998</v>
      </c>
      <c r="G82" s="10">
        <f t="shared" si="7"/>
        <v>37998.867989999999</v>
      </c>
      <c r="H82" s="10">
        <f t="shared" si="7"/>
        <v>6111.1320100000003</v>
      </c>
      <c r="I82" s="10">
        <f t="shared" si="7"/>
        <v>43270.234579999997</v>
      </c>
      <c r="J82" s="267"/>
    </row>
    <row r="83" spans="1:10" ht="14.15" customHeight="1" x14ac:dyDescent="0.35">
      <c r="A83" s="1"/>
      <c r="B83" s="51"/>
      <c r="C83" s="54" t="s">
        <v>23</v>
      </c>
      <c r="D83" s="55">
        <f>D84+D85+D86+D87</f>
        <v>30571</v>
      </c>
      <c r="E83" s="55">
        <f>E87+E86+E85+E84</f>
        <v>32486</v>
      </c>
      <c r="F83" s="129">
        <f t="shared" ref="F83:I83" si="8">F84+F85+F86+F87</f>
        <v>363.25791999999996</v>
      </c>
      <c r="G83" s="129">
        <f t="shared" si="8"/>
        <v>29548.842989999997</v>
      </c>
      <c r="H83" s="129">
        <f t="shared" si="8"/>
        <v>2937.1570099999999</v>
      </c>
      <c r="I83" s="129">
        <f t="shared" si="8"/>
        <v>34023.089309999996</v>
      </c>
      <c r="J83" s="267"/>
    </row>
    <row r="84" spans="1:10" ht="14.15" customHeight="1" x14ac:dyDescent="0.35">
      <c r="A84" s="192"/>
      <c r="B84" s="176"/>
      <c r="C84" s="60" t="s">
        <v>24</v>
      </c>
      <c r="D84" s="61">
        <v>8110</v>
      </c>
      <c r="E84" s="61">
        <v>9004</v>
      </c>
      <c r="F84" s="123">
        <f>177.3996</f>
        <v>177.39959999999999</v>
      </c>
      <c r="G84" s="123">
        <f>4849.09407</f>
        <v>4849.0940700000001</v>
      </c>
      <c r="H84" s="123">
        <f t="shared" ref="H84:H91" si="9">E84-G84</f>
        <v>4154.9059299999999</v>
      </c>
      <c r="I84" s="123">
        <f>6061.42508</f>
        <v>6061.42508</v>
      </c>
      <c r="J84" s="267"/>
    </row>
    <row r="85" spans="1:10" ht="14.15" customHeight="1" x14ac:dyDescent="0.35">
      <c r="A85" s="192"/>
      <c r="B85" s="176"/>
      <c r="C85" s="60" t="s">
        <v>48</v>
      </c>
      <c r="D85" s="61">
        <v>8674</v>
      </c>
      <c r="E85" s="61">
        <v>9068</v>
      </c>
      <c r="F85" s="123">
        <f>61.16125</f>
        <v>61.161250000000003</v>
      </c>
      <c r="G85" s="123">
        <f>7768.89516</f>
        <v>7768.89516</v>
      </c>
      <c r="H85" s="123">
        <f t="shared" si="9"/>
        <v>1299.10484</v>
      </c>
      <c r="I85" s="123">
        <f>10741.07455</f>
        <v>10741.074549999999</v>
      </c>
      <c r="J85" s="267"/>
    </row>
    <row r="86" spans="1:10" ht="14.15" customHeight="1" x14ac:dyDescent="0.35">
      <c r="A86" s="192"/>
      <c r="B86" s="176"/>
      <c r="C86" s="60" t="s">
        <v>49</v>
      </c>
      <c r="D86" s="61">
        <v>8266</v>
      </c>
      <c r="E86" s="61">
        <v>8642</v>
      </c>
      <c r="F86" s="123">
        <f>114.49067</f>
        <v>114.49066999999999</v>
      </c>
      <c r="G86" s="123">
        <f>8731.41112</f>
        <v>8731.4111200000007</v>
      </c>
      <c r="H86" s="123">
        <f t="shared" si="9"/>
        <v>-89.411120000000665</v>
      </c>
      <c r="I86" s="123">
        <f>10141.34605</f>
        <v>10141.34605</v>
      </c>
      <c r="J86" s="267"/>
    </row>
    <row r="87" spans="1:10" ht="14.15" customHeight="1" x14ac:dyDescent="0.35">
      <c r="A87" s="192"/>
      <c r="B87" s="176"/>
      <c r="C87" s="60" t="s">
        <v>27</v>
      </c>
      <c r="D87" s="61">
        <v>5521</v>
      </c>
      <c r="E87" s="61">
        <v>5772</v>
      </c>
      <c r="F87" s="123">
        <f>10.2064</f>
        <v>10.2064</v>
      </c>
      <c r="G87" s="123">
        <f>8199.44264</f>
        <v>8199.4426399999993</v>
      </c>
      <c r="H87" s="123">
        <f t="shared" si="9"/>
        <v>-2427.4426399999993</v>
      </c>
      <c r="I87" s="123">
        <f>7079.24363</f>
        <v>7079.2436299999999</v>
      </c>
      <c r="J87" s="267"/>
    </row>
    <row r="88" spans="1:10" ht="14.15" customHeight="1" x14ac:dyDescent="0.35">
      <c r="A88" s="192"/>
      <c r="B88" s="176"/>
      <c r="C88" s="54" t="s">
        <v>50</v>
      </c>
      <c r="D88" s="55">
        <v>7333</v>
      </c>
      <c r="E88" s="55">
        <v>8117</v>
      </c>
      <c r="F88" s="129">
        <f>375.9504</f>
        <v>375.9504</v>
      </c>
      <c r="G88" s="129">
        <f>5909.10226</f>
        <v>5909.1022599999997</v>
      </c>
      <c r="H88" s="129">
        <f t="shared" si="9"/>
        <v>2207.8977400000003</v>
      </c>
      <c r="I88" s="129">
        <f>6417.88732</f>
        <v>6417.8873199999998</v>
      </c>
      <c r="J88" s="267"/>
    </row>
    <row r="89" spans="1:10" ht="15.75" customHeight="1" x14ac:dyDescent="0.35">
      <c r="A89" s="1"/>
      <c r="B89" s="51"/>
      <c r="C89" s="37" t="s">
        <v>11</v>
      </c>
      <c r="D89" s="59">
        <v>3158</v>
      </c>
      <c r="E89" s="59">
        <v>3507</v>
      </c>
      <c r="F89" s="72">
        <f>70.42889</f>
        <v>70.428889999999996</v>
      </c>
      <c r="G89" s="72">
        <f>2540.92274</f>
        <v>2540.92274</v>
      </c>
      <c r="H89" s="72">
        <f t="shared" si="9"/>
        <v>966.07726000000002</v>
      </c>
      <c r="I89" s="72">
        <f>2829.25795</f>
        <v>2829.2579500000002</v>
      </c>
      <c r="J89" s="267"/>
    </row>
    <row r="90" spans="1:10" ht="15.75" customHeight="1" x14ac:dyDescent="0.35">
      <c r="A90" s="1"/>
      <c r="B90" s="51"/>
      <c r="C90" s="70" t="s">
        <v>33</v>
      </c>
      <c r="D90" s="86">
        <v>319</v>
      </c>
      <c r="E90" s="86">
        <v>319</v>
      </c>
      <c r="F90" s="95">
        <f>1.505</f>
        <v>1.5049999999999999</v>
      </c>
      <c r="G90" s="95">
        <f>39.8711</f>
        <v>39.871099999999998</v>
      </c>
      <c r="H90" s="95">
        <f t="shared" si="9"/>
        <v>279.12889999999999</v>
      </c>
      <c r="I90" s="95">
        <f>36.63444</f>
        <v>36.634439999999998</v>
      </c>
      <c r="J90" s="267"/>
    </row>
    <row r="91" spans="1:10" ht="18" customHeight="1" x14ac:dyDescent="0.35">
      <c r="A91" s="1"/>
      <c r="B91" s="277"/>
      <c r="C91" s="70" t="s">
        <v>51</v>
      </c>
      <c r="D91" s="140">
        <v>300</v>
      </c>
      <c r="E91" s="140">
        <v>300</v>
      </c>
      <c r="F91" s="136">
        <f>0.33152</f>
        <v>0.33151999999999998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35">
      <c r="A92" s="1"/>
      <c r="B92" s="277"/>
      <c r="C92" s="89" t="s">
        <v>37</v>
      </c>
      <c r="D92" s="140">
        <v>50</v>
      </c>
      <c r="E92" s="140">
        <v>50</v>
      </c>
      <c r="F92" s="95">
        <f>0.04424</f>
        <v>4.4240000000000002E-2</v>
      </c>
      <c r="G92" s="95">
        <f>15.44986</f>
        <v>15.449859999999999</v>
      </c>
      <c r="H92" s="136">
        <f>E92-G92</f>
        <v>34.550139999999999</v>
      </c>
      <c r="I92" s="95">
        <f>55.98072</f>
        <v>55.980719999999998</v>
      </c>
      <c r="J92" s="267"/>
    </row>
    <row r="93" spans="1:10" ht="18" customHeight="1" x14ac:dyDescent="0.35">
      <c r="A93" s="1"/>
      <c r="B93" s="277"/>
      <c r="C93" s="89" t="s">
        <v>52</v>
      </c>
      <c r="D93" s="140"/>
      <c r="E93" s="136"/>
      <c r="F93" s="136">
        <f>0.047</f>
        <v>4.7E-2</v>
      </c>
      <c r="G93" s="136">
        <f>40.83824</f>
        <v>40.838239999999999</v>
      </c>
      <c r="H93" s="136">
        <f t="shared" ref="H93" si="10">E93-G93</f>
        <v>-40.838239999999999</v>
      </c>
      <c r="I93" s="136">
        <f>52.57492</f>
        <v>52.574919999999999</v>
      </c>
      <c r="J93" s="267"/>
    </row>
    <row r="94" spans="1:10" ht="16.5" customHeight="1" x14ac:dyDescent="0.35">
      <c r="A94" s="1"/>
      <c r="B94" s="277"/>
      <c r="C94" s="71" t="s">
        <v>39</v>
      </c>
      <c r="D94" s="73">
        <f>D79+D82+D90+D91+D92+D93</f>
        <v>66697</v>
      </c>
      <c r="E94" s="73">
        <f t="shared" ref="E94" si="11">E79+E82+E90+E91+E92+E93</f>
        <v>70901</v>
      </c>
      <c r="F94" s="73">
        <f t="shared" ref="F94:I94" si="12">F79+F82+F90+F91+F92+F93</f>
        <v>838.60456999999985</v>
      </c>
      <c r="G94" s="73">
        <f t="shared" si="12"/>
        <v>61631.686909999997</v>
      </c>
      <c r="H94" s="73">
        <f t="shared" si="12"/>
        <v>9269.3130899999978</v>
      </c>
      <c r="I94" s="73">
        <f t="shared" si="12"/>
        <v>68600.036949999994</v>
      </c>
      <c r="J94" s="267"/>
    </row>
    <row r="95" spans="1:10" ht="13.5" customHeight="1" x14ac:dyDescent="0.35">
      <c r="A95" s="1"/>
      <c r="B95" s="277"/>
      <c r="C95" s="74" t="s">
        <v>123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35">
      <c r="A96" s="1"/>
      <c r="B96" s="24"/>
      <c r="C96" s="156" t="s">
        <v>159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35">
      <c r="A97" s="1"/>
      <c r="B97" s="24"/>
      <c r="C97" s="156" t="s">
        <v>155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35">
      <c r="A98" s="1"/>
      <c r="B98" s="24"/>
      <c r="C98" s="251" t="s">
        <v>53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109</v>
      </c>
      <c r="D100" s="251"/>
      <c r="E100" s="251"/>
      <c r="F100" s="251"/>
      <c r="G100" s="251"/>
      <c r="H100" s="251"/>
      <c r="I100" s="101"/>
      <c r="J100" s="101" t="s">
        <v>109</v>
      </c>
    </row>
    <row r="101" spans="1:10" ht="14.25" customHeight="1" x14ac:dyDescent="0.35">
      <c r="A101" s="1"/>
      <c r="B101" s="101"/>
      <c r="C101" s="101" t="s">
        <v>109</v>
      </c>
      <c r="D101" s="101" t="s">
        <v>109</v>
      </c>
      <c r="E101" s="101"/>
      <c r="F101" s="101"/>
      <c r="G101" s="101"/>
      <c r="H101" s="101"/>
      <c r="I101" s="101"/>
      <c r="J101" s="101" t="s">
        <v>109</v>
      </c>
    </row>
    <row r="102" spans="1:10" ht="17.149999999999999" customHeight="1" x14ac:dyDescent="0.3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5" customHeight="1" x14ac:dyDescent="0.3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5" customHeight="1" x14ac:dyDescent="0.3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5" customHeight="1" x14ac:dyDescent="0.35">
      <c r="A108" s="1"/>
      <c r="B108" s="277"/>
      <c r="C108" s="271" t="s">
        <v>55</v>
      </c>
      <c r="D108" s="114">
        <v>1650</v>
      </c>
      <c r="E108" s="110" t="s">
        <v>56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5" customHeight="1" x14ac:dyDescent="0.35">
      <c r="A109" s="1"/>
      <c r="B109" s="149"/>
      <c r="C109" s="161"/>
      <c r="D109" s="185"/>
      <c r="E109" s="185" t="s">
        <v>57</v>
      </c>
      <c r="F109" s="114">
        <v>4267</v>
      </c>
      <c r="G109" s="110"/>
      <c r="H109" s="161"/>
      <c r="I109" s="173"/>
      <c r="J109" s="267"/>
    </row>
    <row r="110" spans="1:10" ht="12" customHeight="1" x14ac:dyDescent="0.35">
      <c r="A110" s="1"/>
      <c r="B110" s="277"/>
      <c r="C110" s="172" t="s">
        <v>46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35">
      <c r="A111" s="101"/>
      <c r="B111" s="24"/>
      <c r="C111" s="101" t="s">
        <v>124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3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86" t="s">
        <v>16</v>
      </c>
      <c r="D114" s="14" t="s">
        <v>17</v>
      </c>
      <c r="E114" s="14" t="s">
        <v>58</v>
      </c>
      <c r="F114" s="14" t="s">
        <v>162</v>
      </c>
      <c r="G114" s="14" t="s">
        <v>163</v>
      </c>
      <c r="H114" s="14" t="s">
        <v>164</v>
      </c>
      <c r="I114" s="14" t="s">
        <v>165</v>
      </c>
      <c r="J114" s="301"/>
    </row>
    <row r="115" spans="1:10" ht="14.15" customHeight="1" x14ac:dyDescent="0.35">
      <c r="A115" s="1"/>
      <c r="B115" s="277"/>
      <c r="C115" s="15" t="s">
        <v>59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964.34350999999992</v>
      </c>
      <c r="G115" s="10">
        <f t="shared" si="13"/>
        <v>47056.307230000006</v>
      </c>
      <c r="H115" s="10">
        <f t="shared" si="13"/>
        <v>23958.692769999998</v>
      </c>
      <c r="I115" s="10">
        <f t="shared" si="13"/>
        <v>60332.606590000003</v>
      </c>
      <c r="J115" s="267"/>
    </row>
    <row r="116" spans="1:10" ht="14.15" customHeight="1" x14ac:dyDescent="0.35">
      <c r="A116" s="1"/>
      <c r="B116" s="277"/>
      <c r="C116" s="43" t="s">
        <v>20</v>
      </c>
      <c r="D116" s="44">
        <v>51830</v>
      </c>
      <c r="E116" s="44">
        <v>56450</v>
      </c>
      <c r="F116" s="22">
        <f>509.21936</f>
        <v>509.21935999999999</v>
      </c>
      <c r="G116" s="22">
        <f>41903.8228</f>
        <v>41903.822800000002</v>
      </c>
      <c r="H116" s="22">
        <f>E116-G116</f>
        <v>14546.177199999998</v>
      </c>
      <c r="I116" s="22">
        <f>53701.09972</f>
        <v>53701.099719999998</v>
      </c>
      <c r="J116" s="267"/>
    </row>
    <row r="117" spans="1:10" ht="15" customHeight="1" x14ac:dyDescent="0.35">
      <c r="A117" s="1"/>
      <c r="B117" s="277"/>
      <c r="C117" s="43" t="s">
        <v>21</v>
      </c>
      <c r="D117" s="44">
        <v>12457</v>
      </c>
      <c r="E117" s="44">
        <v>14065</v>
      </c>
      <c r="F117" s="22">
        <f>455.12415</f>
        <v>455.12414999999999</v>
      </c>
      <c r="G117" s="22">
        <f>5063.40383</f>
        <v>5063.4038300000002</v>
      </c>
      <c r="H117" s="22">
        <f>E117-G117</f>
        <v>9001.5961700000007</v>
      </c>
      <c r="I117" s="22">
        <f>6554.99272</f>
        <v>6554.9927200000002</v>
      </c>
      <c r="J117" s="267"/>
    </row>
    <row r="118" spans="1:10" ht="13.5" customHeight="1" x14ac:dyDescent="0.35">
      <c r="A118" s="1"/>
      <c r="B118" s="277"/>
      <c r="C118" s="47" t="s">
        <v>60</v>
      </c>
      <c r="D118" s="32">
        <v>500</v>
      </c>
      <c r="E118" s="32">
        <v>500</v>
      </c>
      <c r="F118" s="22">
        <f>0</f>
        <v>0</v>
      </c>
      <c r="G118" s="22">
        <f>89.0806</f>
        <v>89.080600000000004</v>
      </c>
      <c r="H118" s="53">
        <f>E118-G118</f>
        <v>410.9194</v>
      </c>
      <c r="I118" s="22">
        <f>76.51415</f>
        <v>76.514150000000001</v>
      </c>
      <c r="J118" s="267"/>
    </row>
    <row r="119" spans="1:10" ht="14.25" customHeight="1" x14ac:dyDescent="0.35">
      <c r="A119" s="65"/>
      <c r="B119" s="75"/>
      <c r="C119" s="85" t="s">
        <v>61</v>
      </c>
      <c r="D119" s="87">
        <v>43775</v>
      </c>
      <c r="E119" s="87">
        <v>51430</v>
      </c>
      <c r="F119" s="92">
        <f>9.583</f>
        <v>9.5830000000000002</v>
      </c>
      <c r="G119" s="92">
        <f>30207.3877+4570.039</f>
        <v>34777.426699999996</v>
      </c>
      <c r="H119" s="92">
        <f>E119-G119</f>
        <v>16652.573300000004</v>
      </c>
      <c r="I119" s="92">
        <f>16579.2498</f>
        <v>16579.249800000001</v>
      </c>
      <c r="J119" s="111"/>
    </row>
    <row r="120" spans="1:10" ht="15.75" customHeight="1" x14ac:dyDescent="0.3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1864.79874</v>
      </c>
      <c r="G120" s="91">
        <f t="shared" ref="G120" si="14">G121+G126+G129</f>
        <v>49424.31321</v>
      </c>
      <c r="H120" s="91">
        <f>H121+H126+H129</f>
        <v>25620.686789999996</v>
      </c>
      <c r="I120" s="91">
        <f>I121+I126+I129</f>
        <v>74608.508460000012</v>
      </c>
      <c r="J120" s="117"/>
    </row>
    <row r="121" spans="1:10" ht="14.15" customHeight="1" x14ac:dyDescent="0.35">
      <c r="A121" s="1"/>
      <c r="B121" s="50"/>
      <c r="C121" s="118" t="s">
        <v>62</v>
      </c>
      <c r="D121" s="119">
        <f>D122+D123+D124+D125</f>
        <v>51362</v>
      </c>
      <c r="E121" s="119">
        <f>E122+E123+E124+E125</f>
        <v>56359</v>
      </c>
      <c r="F121" s="121">
        <f>F122+F123+F124+F125</f>
        <v>1601.9974099999999</v>
      </c>
      <c r="G121" s="121">
        <f>G122+G123+G125+G124</f>
        <v>37036.964670000001</v>
      </c>
      <c r="H121" s="121">
        <f>H122+H123+H124+H125</f>
        <v>19322.035329999999</v>
      </c>
      <c r="I121" s="121">
        <f>I122+I123+I124+I125</f>
        <v>58600.642740000003</v>
      </c>
      <c r="J121" s="301"/>
    </row>
    <row r="122" spans="1:10" ht="14.15" customHeight="1" x14ac:dyDescent="0.35">
      <c r="A122" s="192"/>
      <c r="B122" s="122"/>
      <c r="C122" s="60" t="s">
        <v>24</v>
      </c>
      <c r="D122" s="61">
        <v>13661</v>
      </c>
      <c r="E122" s="61">
        <v>16016</v>
      </c>
      <c r="F122" s="123">
        <f>247.96857</f>
        <v>247.96857</v>
      </c>
      <c r="G122" s="123">
        <f>9437.79379</f>
        <v>9437.7937899999997</v>
      </c>
      <c r="H122" s="123">
        <f>E122-G122</f>
        <v>6578.2062100000003</v>
      </c>
      <c r="I122" s="123">
        <f>11716.77507</f>
        <v>11716.77507</v>
      </c>
      <c r="J122" s="125"/>
    </row>
    <row r="123" spans="1:10" ht="14.15" customHeight="1" x14ac:dyDescent="0.35">
      <c r="A123" s="192"/>
      <c r="B123" s="176"/>
      <c r="C123" s="60" t="s">
        <v>48</v>
      </c>
      <c r="D123" s="61">
        <v>14094</v>
      </c>
      <c r="E123" s="61">
        <v>14854</v>
      </c>
      <c r="F123" s="123">
        <f>566.60709</f>
        <v>566.60708999999997</v>
      </c>
      <c r="G123" s="123">
        <f>10738.38749-287.2856</f>
        <v>10451.10189</v>
      </c>
      <c r="H123" s="123">
        <f>E123-G123</f>
        <v>4402.8981100000001</v>
      </c>
      <c r="I123" s="123">
        <f>15104.5523</f>
        <v>15104.552299999999</v>
      </c>
      <c r="J123" s="126"/>
    </row>
    <row r="124" spans="1:10" ht="14.15" customHeight="1" x14ac:dyDescent="0.35">
      <c r="A124" s="192"/>
      <c r="B124" s="176"/>
      <c r="C124" s="60" t="s">
        <v>49</v>
      </c>
      <c r="D124" s="61">
        <v>12169</v>
      </c>
      <c r="E124" s="61">
        <v>12872</v>
      </c>
      <c r="F124" s="123">
        <f>377.31935</f>
        <v>377.31934999999999</v>
      </c>
      <c r="G124" s="123">
        <f>10022.82-969.9187</f>
        <v>9052.9012999999995</v>
      </c>
      <c r="H124" s="123">
        <f>E124-G124</f>
        <v>3819.0987000000005</v>
      </c>
      <c r="I124" s="123">
        <f>15510.47114</f>
        <v>15510.47114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11438</v>
      </c>
      <c r="E125" s="61">
        <v>12617</v>
      </c>
      <c r="F125" s="123">
        <f>410.1024</f>
        <v>410.10239999999999</v>
      </c>
      <c r="G125" s="123">
        <f>11408.00239-3312.8347</f>
        <v>8095.1676900000002</v>
      </c>
      <c r="H125" s="123">
        <f>E125-G125</f>
        <v>4521.8323099999998</v>
      </c>
      <c r="I125" s="123">
        <f>16268.84423</f>
        <v>16268.844230000001</v>
      </c>
      <c r="J125" s="126"/>
    </row>
    <row r="126" spans="1:10" ht="14.15" customHeight="1" x14ac:dyDescent="0.35">
      <c r="A126" s="64"/>
      <c r="B126" s="51"/>
      <c r="C126" s="54" t="s">
        <v>28</v>
      </c>
      <c r="D126" s="55">
        <f>D127+D128</f>
        <v>7319</v>
      </c>
      <c r="E126" s="55">
        <f>E127+E128</f>
        <v>7742</v>
      </c>
      <c r="F126" s="129">
        <f>SUM(F127:F128)</f>
        <v>164.72024999999999</v>
      </c>
      <c r="G126" s="129">
        <f>SUM(G127:G128)</f>
        <v>6467.86715</v>
      </c>
      <c r="H126" s="129">
        <f>H127+H128</f>
        <v>1274.1328499999995</v>
      </c>
      <c r="I126" s="129">
        <f>SUM(I127:I128)</f>
        <v>9268.0501999999997</v>
      </c>
      <c r="J126" s="130"/>
    </row>
    <row r="127" spans="1:10" ht="14.15" customHeight="1" x14ac:dyDescent="0.35">
      <c r="A127" s="1"/>
      <c r="B127" s="277"/>
      <c r="C127" s="60" t="s">
        <v>63</v>
      </c>
      <c r="D127" s="61">
        <v>6819</v>
      </c>
      <c r="E127" s="61">
        <v>7242</v>
      </c>
      <c r="F127" s="123">
        <f>163.4364</f>
        <v>163.43639999999999</v>
      </c>
      <c r="G127" s="123">
        <f>6264.72878</f>
        <v>6264.7287800000004</v>
      </c>
      <c r="H127" s="123">
        <f t="shared" ref="H127:H135" si="15">E127-G127</f>
        <v>977.27121999999963</v>
      </c>
      <c r="I127" s="123">
        <f>8799.33901</f>
        <v>8799.3390099999997</v>
      </c>
      <c r="J127" s="117"/>
    </row>
    <row r="128" spans="1:10" ht="15" customHeight="1" x14ac:dyDescent="0.35">
      <c r="A128" s="1"/>
      <c r="B128" s="51"/>
      <c r="C128" s="60" t="s">
        <v>64</v>
      </c>
      <c r="D128" s="61">
        <v>500</v>
      </c>
      <c r="E128" s="61">
        <v>500</v>
      </c>
      <c r="F128" s="123">
        <f>1.28385</f>
        <v>1.2838499999999999</v>
      </c>
      <c r="G128" s="123">
        <f>203.13837</f>
        <v>203.13837000000001</v>
      </c>
      <c r="H128" s="123">
        <f t="shared" si="15"/>
        <v>296.86162999999999</v>
      </c>
      <c r="I128" s="123">
        <f>468.71119</f>
        <v>468.71118999999999</v>
      </c>
      <c r="J128" s="131"/>
    </row>
    <row r="129" spans="1:10" ht="15.75" customHeight="1" x14ac:dyDescent="0.35">
      <c r="A129" s="1"/>
      <c r="B129" s="277"/>
      <c r="C129" s="37" t="s">
        <v>11</v>
      </c>
      <c r="D129" s="59">
        <v>9315</v>
      </c>
      <c r="E129" s="59">
        <v>10944</v>
      </c>
      <c r="F129" s="72">
        <f>98.08108</f>
        <v>98.08108</v>
      </c>
      <c r="G129" s="72">
        <f>5919.48139</f>
        <v>5919.4813899999999</v>
      </c>
      <c r="H129" s="72">
        <f t="shared" si="15"/>
        <v>5024.5186100000001</v>
      </c>
      <c r="I129" s="72">
        <f>6739.81552</f>
        <v>6739.8155200000001</v>
      </c>
      <c r="J129" s="117"/>
    </row>
    <row r="130" spans="1:10" ht="15.75" customHeight="1" x14ac:dyDescent="0.35">
      <c r="A130" s="1"/>
      <c r="B130" s="277"/>
      <c r="C130" s="139" t="s">
        <v>33</v>
      </c>
      <c r="D130" s="140">
        <v>146</v>
      </c>
      <c r="E130" s="140">
        <v>146</v>
      </c>
      <c r="F130" s="136">
        <f>0.3699</f>
        <v>0.36990000000000001</v>
      </c>
      <c r="G130" s="136">
        <f>18.93411</f>
        <v>18.93411</v>
      </c>
      <c r="H130" s="136">
        <f t="shared" si="15"/>
        <v>127.06589</v>
      </c>
      <c r="I130" s="136">
        <f>16.4778</f>
        <v>16.477799999999998</v>
      </c>
      <c r="J130" s="117"/>
    </row>
    <row r="131" spans="1:10" ht="15.75" customHeight="1" x14ac:dyDescent="0.35">
      <c r="A131" s="1"/>
      <c r="B131" s="277"/>
      <c r="C131" s="137" t="s">
        <v>65</v>
      </c>
      <c r="D131" s="86">
        <v>350</v>
      </c>
      <c r="E131" s="86">
        <v>350</v>
      </c>
      <c r="F131" s="95">
        <f>0</f>
        <v>0</v>
      </c>
      <c r="G131" s="95">
        <f>1.368</f>
        <v>1.3680000000000001</v>
      </c>
      <c r="H131" s="95">
        <f t="shared" si="15"/>
        <v>348.63200000000001</v>
      </c>
      <c r="I131" s="95">
        <f>256.036</f>
        <v>256.036</v>
      </c>
      <c r="J131" s="117"/>
    </row>
    <row r="132" spans="1:10" ht="18" customHeight="1" x14ac:dyDescent="0.35">
      <c r="A132" s="1"/>
      <c r="B132" s="277"/>
      <c r="C132" s="137" t="s">
        <v>66</v>
      </c>
      <c r="D132" s="140">
        <v>2000</v>
      </c>
      <c r="E132" s="140">
        <v>2000</v>
      </c>
      <c r="F132" s="136">
        <f>3.28066</f>
        <v>3.2806600000000001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35">
      <c r="A133" s="1"/>
      <c r="B133" s="277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35">
      <c r="A134" s="1"/>
      <c r="B134" s="277"/>
      <c r="C134" s="139" t="s">
        <v>67</v>
      </c>
      <c r="D134" s="140">
        <v>313</v>
      </c>
      <c r="E134" s="140">
        <v>313</v>
      </c>
      <c r="F134" s="95">
        <f>1.7146</f>
        <v>1.7145999999999999</v>
      </c>
      <c r="G134" s="95">
        <f>93.52268</f>
        <v>93.522679999999994</v>
      </c>
      <c r="H134" s="136">
        <f t="shared" si="15"/>
        <v>219.47732000000002</v>
      </c>
      <c r="I134" s="95">
        <f>79.43641</f>
        <v>79.436409999999995</v>
      </c>
      <c r="J134" s="117"/>
    </row>
    <row r="135" spans="1:10" ht="15" customHeight="1" x14ac:dyDescent="0.35">
      <c r="A135" s="1"/>
      <c r="B135" s="277"/>
      <c r="C135" s="139" t="s">
        <v>38</v>
      </c>
      <c r="D135" s="142"/>
      <c r="E135" s="140"/>
      <c r="F135" s="136">
        <f>0</f>
        <v>0</v>
      </c>
      <c r="G135" s="136">
        <f>278.29459</f>
        <v>278.29459000000003</v>
      </c>
      <c r="H135" s="136">
        <f t="shared" si="15"/>
        <v>-278.29459000000003</v>
      </c>
      <c r="I135" s="136">
        <f>292.68824</f>
        <v>292.68824000000001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39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2844.0904099999998</v>
      </c>
      <c r="G137" s="73">
        <f>G115+G119+G120+G130+G131+G132+G133+G134+G135</f>
        <v>133650.16652</v>
      </c>
      <c r="H137" s="73">
        <f>H115+H119+H120+H130+H131+H132+H133+H134+H135</f>
        <v>66648.833479999987</v>
      </c>
      <c r="I137" s="73">
        <f>I115+I119+I120+I130+I131+I132+I133+I134+I135</f>
        <v>154165.00329999998</v>
      </c>
      <c r="J137" s="155"/>
    </row>
    <row r="138" spans="1:10" ht="14.25" customHeight="1" x14ac:dyDescent="0.35">
      <c r="A138" s="152"/>
      <c r="B138" s="50"/>
      <c r="C138" s="156" t="s">
        <v>68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125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3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35">
      <c r="A141" s="152"/>
      <c r="B141" s="50"/>
      <c r="C141" s="74" t="s">
        <v>160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35">
      <c r="A142" s="152"/>
      <c r="B142" s="50"/>
      <c r="C142" s="156" t="s">
        <v>128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35">
      <c r="A143" s="152"/>
      <c r="B143" s="50"/>
      <c r="C143" s="74" t="s">
        <v>134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109</v>
      </c>
      <c r="B147" s="2"/>
      <c r="C147" s="233" t="s">
        <v>69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109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109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5" customHeight="1" x14ac:dyDescent="0.3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5" customHeight="1" x14ac:dyDescent="0.3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5" customHeight="1" x14ac:dyDescent="0.35">
      <c r="A153" s="1"/>
      <c r="B153" s="277"/>
      <c r="C153" s="172" t="s">
        <v>70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5" customHeight="1" x14ac:dyDescent="0.35">
      <c r="A154" s="1"/>
      <c r="B154" s="277"/>
      <c r="C154" s="172" t="s">
        <v>46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5" customHeight="1" x14ac:dyDescent="0.3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3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3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162</v>
      </c>
      <c r="F159" s="14" t="s">
        <v>163</v>
      </c>
      <c r="G159" s="52" t="s">
        <v>164</v>
      </c>
      <c r="H159" s="14" t="s">
        <v>165</v>
      </c>
      <c r="I159" s="152"/>
      <c r="J159" s="301"/>
    </row>
    <row r="160" spans="1:10" ht="14.15" customHeight="1" x14ac:dyDescent="0.35">
      <c r="A160" s="1"/>
      <c r="B160" s="277"/>
      <c r="C160" s="138" t="s">
        <v>71</v>
      </c>
      <c r="D160" s="91">
        <v>3762</v>
      </c>
      <c r="E160" s="297">
        <f>49.1652</f>
        <v>49.165199999999999</v>
      </c>
      <c r="F160" s="297">
        <f>1456.21292</f>
        <v>1456.2129199999999</v>
      </c>
      <c r="G160" s="42">
        <f>D160-F160-F161</f>
        <v>792.91544999999996</v>
      </c>
      <c r="H160" s="297">
        <f>1531.93887</f>
        <v>1531.93887</v>
      </c>
      <c r="I160" s="1"/>
      <c r="J160" s="117"/>
    </row>
    <row r="161" spans="1:10" ht="14.15" customHeight="1" x14ac:dyDescent="0.35">
      <c r="A161" s="1"/>
      <c r="B161" s="277"/>
      <c r="C161" s="133" t="s">
        <v>50</v>
      </c>
      <c r="D161" s="175"/>
      <c r="E161" s="148">
        <f>64.85466</f>
        <v>64.854659999999996</v>
      </c>
      <c r="F161" s="148">
        <f>1512.87163</f>
        <v>1512.8716300000001</v>
      </c>
      <c r="G161" s="219"/>
      <c r="H161" s="148">
        <f>1631.61131</f>
        <v>1631.61131</v>
      </c>
      <c r="I161" s="1"/>
      <c r="J161" s="117"/>
    </row>
    <row r="162" spans="1:10" ht="15.65" customHeight="1" x14ac:dyDescent="0.35">
      <c r="A162" s="1"/>
      <c r="B162" s="277"/>
      <c r="C162" s="163" t="s">
        <v>72</v>
      </c>
      <c r="D162" s="95">
        <v>200</v>
      </c>
      <c r="E162" s="166">
        <f>7.82996</f>
        <v>7.8299599999999998</v>
      </c>
      <c r="F162" s="166">
        <f>97.00389</f>
        <v>97.003889999999998</v>
      </c>
      <c r="G162" s="166">
        <f>D162-F162</f>
        <v>102.99611</v>
      </c>
      <c r="H162" s="166">
        <f>117.23431</f>
        <v>117.23430999999999</v>
      </c>
      <c r="I162" s="1"/>
      <c r="J162" s="117"/>
    </row>
    <row r="163" spans="1:10" ht="14.15" customHeight="1" x14ac:dyDescent="0.35">
      <c r="A163" s="65"/>
      <c r="B163" s="75"/>
      <c r="C163" s="174" t="s">
        <v>73</v>
      </c>
      <c r="D163" s="175">
        <v>5642</v>
      </c>
      <c r="E163" s="175">
        <f>E164+E165+E166</f>
        <v>13.76098</v>
      </c>
      <c r="F163" s="175">
        <f>F164+F165+F166</f>
        <v>5497.39894</v>
      </c>
      <c r="G163" s="175">
        <f>D163-F163</f>
        <v>144.60105999999996</v>
      </c>
      <c r="H163" s="175">
        <f>H164+H165+H166</f>
        <v>5999.1744399999998</v>
      </c>
      <c r="I163" s="65"/>
      <c r="J163" s="111"/>
    </row>
    <row r="164" spans="1:10" ht="14.15" customHeight="1" x14ac:dyDescent="0.35">
      <c r="A164" s="192"/>
      <c r="B164" s="176"/>
      <c r="C164" s="177" t="s">
        <v>74</v>
      </c>
      <c r="D164" s="123"/>
      <c r="E164" s="123">
        <f>2.07892</f>
        <v>2.0789200000000001</v>
      </c>
      <c r="F164" s="123">
        <f>3082.41728</f>
        <v>3082.4172800000001</v>
      </c>
      <c r="G164" s="123"/>
      <c r="H164" s="123">
        <f>3092.67218</f>
        <v>3092.67218</v>
      </c>
      <c r="I164" s="181"/>
      <c r="J164" s="126"/>
    </row>
    <row r="165" spans="1:10" ht="14.15" customHeight="1" x14ac:dyDescent="0.35">
      <c r="A165" s="192"/>
      <c r="B165" s="176"/>
      <c r="C165" s="177" t="s">
        <v>75</v>
      </c>
      <c r="D165" s="123"/>
      <c r="E165" s="123">
        <f>4.20292</f>
        <v>4.2029199999999998</v>
      </c>
      <c r="F165" s="123">
        <f>1605.67365</f>
        <v>1605.67365</v>
      </c>
      <c r="G165" s="123"/>
      <c r="H165" s="123">
        <f>1832.55103</f>
        <v>1832.5510300000001</v>
      </c>
      <c r="I165" s="181"/>
      <c r="J165" s="182"/>
    </row>
    <row r="166" spans="1:10" ht="14.15" customHeight="1" x14ac:dyDescent="0.35">
      <c r="A166" s="192"/>
      <c r="B166" s="176"/>
      <c r="C166" s="183" t="s">
        <v>76</v>
      </c>
      <c r="D166" s="186"/>
      <c r="E166" s="186">
        <f>7.47914</f>
        <v>7.4791400000000001</v>
      </c>
      <c r="F166" s="186">
        <f>809.30801</f>
        <v>809.30800999999997</v>
      </c>
      <c r="G166" s="186"/>
      <c r="H166" s="186">
        <f>1073.95123</f>
        <v>1073.9512299999999</v>
      </c>
      <c r="I166" s="181"/>
      <c r="J166" s="182"/>
    </row>
    <row r="167" spans="1:10" ht="14.15" customHeight="1" x14ac:dyDescent="0.35">
      <c r="A167" s="1"/>
      <c r="B167" s="277"/>
      <c r="C167" s="70" t="s">
        <v>77</v>
      </c>
      <c r="D167" s="136">
        <v>71</v>
      </c>
      <c r="E167" s="136">
        <f>0.1314</f>
        <v>0.13139999999999999</v>
      </c>
      <c r="F167" s="136">
        <f>5.4845</f>
        <v>5.4844999999999997</v>
      </c>
      <c r="G167" s="136">
        <f>D167-F167</f>
        <v>65.515500000000003</v>
      </c>
      <c r="H167" s="136">
        <f>0</f>
        <v>0</v>
      </c>
      <c r="I167" s="173"/>
      <c r="J167" s="267"/>
    </row>
    <row r="168" spans="1:10" ht="16.5" customHeight="1" x14ac:dyDescent="0.35">
      <c r="A168" s="1"/>
      <c r="B168" s="277"/>
      <c r="C168" s="89" t="s">
        <v>78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99999999999999" customHeight="1" x14ac:dyDescent="0.3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135.7422</v>
      </c>
      <c r="F169" s="188">
        <f>F160+F161+F162+F163+F167+F168</f>
        <v>8568.971880000001</v>
      </c>
      <c r="G169" s="188">
        <f>D169-F169</f>
        <v>1106.028119999999</v>
      </c>
      <c r="H169" s="188">
        <f>H160+H161+H162+H163+H167+H168</f>
        <v>9279.9589300000007</v>
      </c>
      <c r="I169" s="159"/>
      <c r="J169" s="155"/>
    </row>
    <row r="170" spans="1:10" ht="42" customHeight="1" x14ac:dyDescent="0.35">
      <c r="A170" s="1"/>
      <c r="B170" s="193"/>
      <c r="C170" s="250" t="s">
        <v>129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35">
      <c r="A171" s="152" t="s">
        <v>109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109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79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109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3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77"/>
      <c r="C178" s="281" t="s">
        <v>80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77"/>
      <c r="C179" s="271" t="s">
        <v>81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77"/>
      <c r="C180" s="271" t="s">
        <v>82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77"/>
      <c r="C181" s="57" t="s">
        <v>46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77"/>
      <c r="C182" s="101" t="s">
        <v>130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77"/>
      <c r="C183" s="101" t="s">
        <v>131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77"/>
      <c r="C184" s="101" t="s">
        <v>132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3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77"/>
      <c r="C188" s="68" t="s">
        <v>16</v>
      </c>
      <c r="D188" s="210" t="s">
        <v>2</v>
      </c>
      <c r="E188" s="14" t="s">
        <v>137</v>
      </c>
      <c r="F188" s="68" t="s">
        <v>162</v>
      </c>
      <c r="G188" s="68" t="s">
        <v>163</v>
      </c>
      <c r="H188" s="68" t="s">
        <v>164</v>
      </c>
      <c r="I188" s="68" t="s">
        <v>165</v>
      </c>
      <c r="J188" s="117"/>
    </row>
    <row r="189" spans="1:10" ht="15" customHeight="1" x14ac:dyDescent="0.35">
      <c r="A189" s="1"/>
      <c r="B189" s="277"/>
      <c r="C189" s="90" t="s">
        <v>4</v>
      </c>
      <c r="D189" s="124">
        <v>44142</v>
      </c>
      <c r="E189" s="124">
        <v>43335</v>
      </c>
      <c r="F189" s="124">
        <f>42.25242</f>
        <v>42.252420000000001</v>
      </c>
      <c r="G189" s="124">
        <f>45375.67237</f>
        <v>45375.67237</v>
      </c>
      <c r="H189" s="124">
        <f>E189-G189</f>
        <v>-2040.6723700000002</v>
      </c>
      <c r="I189" s="124">
        <f>43857.36728</f>
        <v>43857.367279999999</v>
      </c>
      <c r="J189" s="117"/>
    </row>
    <row r="190" spans="1:10" ht="15" customHeight="1" x14ac:dyDescent="0.35">
      <c r="A190" s="1"/>
      <c r="B190" s="277"/>
      <c r="C190" s="90" t="s">
        <v>64</v>
      </c>
      <c r="D190" s="124">
        <v>100</v>
      </c>
      <c r="E190" s="124">
        <v>100</v>
      </c>
      <c r="F190" s="124">
        <f>0.1372</f>
        <v>0.13719999999999999</v>
      </c>
      <c r="G190" s="124">
        <f>50.4333</f>
        <v>50.433300000000003</v>
      </c>
      <c r="H190" s="124">
        <f>E190-G190</f>
        <v>49.566699999999997</v>
      </c>
      <c r="I190" s="124">
        <f>44.47764</f>
        <v>44.477640000000001</v>
      </c>
      <c r="J190" s="117"/>
    </row>
    <row r="191" spans="1:10" ht="15.75" customHeight="1" x14ac:dyDescent="0.35">
      <c r="A191" s="1"/>
      <c r="B191" s="277"/>
      <c r="C191" s="146" t="s">
        <v>77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E191-G191</f>
        <v>36</v>
      </c>
      <c r="I191" s="136">
        <f>0</f>
        <v>0</v>
      </c>
      <c r="J191" s="117"/>
    </row>
    <row r="192" spans="1:10" ht="16.5" customHeight="1" x14ac:dyDescent="0.35">
      <c r="A192" s="1"/>
      <c r="B192" s="277"/>
      <c r="C192" s="179" t="s">
        <v>83</v>
      </c>
      <c r="D192" s="190">
        <f>SUM(D189:D191)</f>
        <v>44278</v>
      </c>
      <c r="E192" s="190">
        <f>SUM(E189:E191)</f>
        <v>43471</v>
      </c>
      <c r="F192" s="190">
        <f>SUM(F189:F191)</f>
        <v>42.389620000000001</v>
      </c>
      <c r="G192" s="190">
        <f>SUM(G189:G191)</f>
        <v>45426.105669999997</v>
      </c>
      <c r="H192" s="190">
        <f>E192-G192</f>
        <v>-1955.1056699999972</v>
      </c>
      <c r="I192" s="190">
        <f>SUM(I189:I191)</f>
        <v>43901.844919999996</v>
      </c>
      <c r="J192" s="117"/>
    </row>
    <row r="193" spans="1:10" ht="12" customHeight="1" x14ac:dyDescent="0.35">
      <c r="A193" s="1"/>
      <c r="B193" s="277"/>
      <c r="C193" s="101" t="s">
        <v>84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104" t="s">
        <v>138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110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109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3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77"/>
      <c r="C201" s="68" t="s">
        <v>16</v>
      </c>
      <c r="D201" s="79" t="s">
        <v>2</v>
      </c>
      <c r="E201" s="68" t="s">
        <v>162</v>
      </c>
      <c r="F201" s="68" t="s">
        <v>163</v>
      </c>
      <c r="G201" s="68" t="s">
        <v>164</v>
      </c>
      <c r="H201" s="68" t="s">
        <v>165</v>
      </c>
      <c r="I201" s="1"/>
      <c r="J201" s="117"/>
    </row>
    <row r="202" spans="1:10" ht="15" customHeight="1" x14ac:dyDescent="0.35">
      <c r="A202" s="1"/>
      <c r="B202" s="277"/>
      <c r="C202" s="90" t="s">
        <v>113</v>
      </c>
      <c r="D202" s="124">
        <v>3987</v>
      </c>
      <c r="E202" s="72">
        <f>E203+E204</f>
        <v>67.659559999999999</v>
      </c>
      <c r="F202" s="72">
        <f>F203+F204</f>
        <v>4050.4088199999997</v>
      </c>
      <c r="G202" s="72">
        <f>D202-F202</f>
        <v>-63.40881999999965</v>
      </c>
      <c r="H202" s="72">
        <f>H203+H204</f>
        <v>4344.0293300000003</v>
      </c>
      <c r="I202" s="271"/>
      <c r="J202" s="117"/>
    </row>
    <row r="203" spans="1:10" ht="15" customHeight="1" x14ac:dyDescent="0.35">
      <c r="A203" s="1"/>
      <c r="B203" s="277"/>
      <c r="C203" s="172" t="s">
        <v>8</v>
      </c>
      <c r="D203" s="124"/>
      <c r="E203" s="72">
        <f>40.5818</f>
        <v>40.581800000000001</v>
      </c>
      <c r="F203" s="72">
        <f>3231.38199</f>
        <v>3231.3819899999999</v>
      </c>
      <c r="G203" s="72"/>
      <c r="H203" s="72">
        <f>3678.41889</f>
        <v>3678.4188899999999</v>
      </c>
      <c r="I203" s="271"/>
      <c r="J203" s="117"/>
    </row>
    <row r="204" spans="1:10" ht="15" customHeight="1" x14ac:dyDescent="0.35">
      <c r="A204" s="1"/>
      <c r="B204" s="277"/>
      <c r="C204" s="172" t="s">
        <v>64</v>
      </c>
      <c r="D204" s="124"/>
      <c r="E204" s="124">
        <f>27.07776</f>
        <v>27.077760000000001</v>
      </c>
      <c r="F204" s="124">
        <f>819.02683</f>
        <v>819.02683000000002</v>
      </c>
      <c r="G204" s="168"/>
      <c r="H204" s="124">
        <f>665.61044</f>
        <v>665.61044000000004</v>
      </c>
      <c r="I204" s="271"/>
      <c r="J204" s="117"/>
    </row>
    <row r="205" spans="1:10" ht="15" customHeight="1" x14ac:dyDescent="0.35">
      <c r="A205" s="1"/>
      <c r="B205" s="277"/>
      <c r="C205" s="90" t="s">
        <v>114</v>
      </c>
      <c r="D205" s="124">
        <v>4613</v>
      </c>
      <c r="E205" s="72">
        <f>41.90354</f>
        <v>41.90354</v>
      </c>
      <c r="F205" s="72">
        <f>4896.66809</f>
        <v>4896.6680900000001</v>
      </c>
      <c r="G205" s="72">
        <f>D205-F205</f>
        <v>-283.66809000000012</v>
      </c>
      <c r="H205" s="72">
        <f>5550.36004</f>
        <v>5550.3600399999996</v>
      </c>
      <c r="I205" s="271"/>
      <c r="J205" s="117"/>
    </row>
    <row r="206" spans="1:10" ht="16.5" customHeight="1" x14ac:dyDescent="0.35">
      <c r="A206" s="1"/>
      <c r="B206" s="277"/>
      <c r="C206" s="179" t="s">
        <v>83</v>
      </c>
      <c r="D206" s="190">
        <f>D205+D202</f>
        <v>8600</v>
      </c>
      <c r="E206" s="190">
        <f>SUM(E202,E205)</f>
        <v>109.56309999999999</v>
      </c>
      <c r="F206" s="190">
        <f>SUM(F202,F205)</f>
        <v>8947.0769099999998</v>
      </c>
      <c r="G206" s="190">
        <f>D206-F206</f>
        <v>-347.07690999999977</v>
      </c>
      <c r="H206" s="190">
        <f>SUM(H202,H205)</f>
        <v>9894.3893700000008</v>
      </c>
      <c r="I206" s="271"/>
      <c r="J206" s="117"/>
    </row>
    <row r="207" spans="1:10" ht="19.5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111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">
      <c r="A210" s="145" t="s">
        <v>109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3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77"/>
      <c r="C214" s="68" t="s">
        <v>16</v>
      </c>
      <c r="D214" s="79" t="s">
        <v>2</v>
      </c>
      <c r="E214" s="68" t="s">
        <v>162</v>
      </c>
      <c r="F214" s="68" t="s">
        <v>163</v>
      </c>
      <c r="G214" s="68" t="s">
        <v>164</v>
      </c>
      <c r="H214" s="68" t="s">
        <v>165</v>
      </c>
      <c r="I214" s="1"/>
      <c r="J214" s="117"/>
    </row>
    <row r="215" spans="1:10" ht="15" customHeight="1" x14ac:dyDescent="0.35">
      <c r="A215" s="1"/>
      <c r="B215" s="277"/>
      <c r="C215" s="90" t="s">
        <v>113</v>
      </c>
      <c r="D215" s="124">
        <v>5090</v>
      </c>
      <c r="E215" s="72">
        <f>E216+E217</f>
        <v>133.14112</v>
      </c>
      <c r="F215" s="72">
        <f>F216+F217</f>
        <v>5598.8581200000008</v>
      </c>
      <c r="G215" s="72">
        <f>D215-F215</f>
        <v>-508.85812000000078</v>
      </c>
      <c r="H215" s="72">
        <f>H216+H217</f>
        <v>5444.0516199999993</v>
      </c>
      <c r="I215" s="271"/>
      <c r="J215" s="117"/>
    </row>
    <row r="216" spans="1:10" ht="15" customHeight="1" x14ac:dyDescent="0.35">
      <c r="A216" s="1"/>
      <c r="B216" s="277"/>
      <c r="C216" s="172" t="s">
        <v>8</v>
      </c>
      <c r="D216" s="124"/>
      <c r="E216" s="72">
        <f>124.7554</f>
        <v>124.75539999999999</v>
      </c>
      <c r="F216" s="72">
        <f>5168.90195</f>
        <v>5168.9019500000004</v>
      </c>
      <c r="G216" s="72"/>
      <c r="H216" s="72">
        <f>4878.83858</f>
        <v>4878.8385799999996</v>
      </c>
      <c r="I216" s="271"/>
      <c r="J216" s="117"/>
    </row>
    <row r="217" spans="1:10" ht="15" customHeight="1" x14ac:dyDescent="0.35">
      <c r="A217" s="1"/>
      <c r="B217" s="277"/>
      <c r="C217" s="172" t="s">
        <v>64</v>
      </c>
      <c r="D217" s="124"/>
      <c r="E217" s="124">
        <f>8.38572</f>
        <v>8.3857199999999992</v>
      </c>
      <c r="F217" s="124">
        <f>429.95617</f>
        <v>429.95616999999999</v>
      </c>
      <c r="G217" s="168"/>
      <c r="H217" s="124">
        <f>565.21304</f>
        <v>565.21303999999998</v>
      </c>
      <c r="I217" s="271"/>
      <c r="J217" s="117"/>
    </row>
    <row r="218" spans="1:10" ht="15" customHeight="1" x14ac:dyDescent="0.35">
      <c r="A218" s="1"/>
      <c r="B218" s="277"/>
      <c r="C218" s="90" t="s">
        <v>114</v>
      </c>
      <c r="D218" s="124">
        <v>2981</v>
      </c>
      <c r="E218" s="72">
        <f>157.13756</f>
        <v>157.13756000000001</v>
      </c>
      <c r="F218" s="72">
        <f>3324.95749</f>
        <v>3324.9574899999998</v>
      </c>
      <c r="G218" s="72">
        <f>D218-F218</f>
        <v>-343.95748999999978</v>
      </c>
      <c r="H218" s="72">
        <f>3352.89727</f>
        <v>3352.8972699999999</v>
      </c>
      <c r="I218" s="271"/>
      <c r="J218" s="117"/>
    </row>
    <row r="219" spans="1:10" ht="16.5" customHeight="1" x14ac:dyDescent="0.35">
      <c r="A219" s="1"/>
      <c r="B219" s="277"/>
      <c r="C219" s="179" t="s">
        <v>83</v>
      </c>
      <c r="D219" s="190">
        <f>D218+D215</f>
        <v>8071</v>
      </c>
      <c r="E219" s="190">
        <f>SUM(E215,E218)</f>
        <v>290.27868000000001</v>
      </c>
      <c r="F219" s="190">
        <f>SUM(F215,F218)</f>
        <v>8923.8156100000015</v>
      </c>
      <c r="G219" s="190">
        <f>D219-F219</f>
        <v>-852.81561000000147</v>
      </c>
      <c r="H219" s="190">
        <f>SUM(H215,H218)</f>
        <v>8796.9488899999997</v>
      </c>
      <c r="I219" s="271"/>
      <c r="J219" s="117"/>
    </row>
    <row r="220" spans="1:10" ht="19.5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85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35">
      <c r="A223" s="223" t="s">
        <v>109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77"/>
      <c r="C226" s="281" t="s">
        <v>80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5" customHeight="1" x14ac:dyDescent="0.35">
      <c r="A227" s="1"/>
      <c r="B227" s="277"/>
      <c r="C227" s="271" t="s">
        <v>86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5" customHeight="1" x14ac:dyDescent="0.35">
      <c r="A228" s="1"/>
      <c r="B228" s="277"/>
      <c r="C228" s="271" t="s">
        <v>87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35">
      <c r="A229" s="1"/>
      <c r="B229" s="277"/>
      <c r="C229" s="271" t="s">
        <v>115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35">
      <c r="A230" s="1"/>
      <c r="B230" s="277"/>
      <c r="C230" s="57" t="s">
        <v>46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77"/>
      <c r="C231" s="251" t="s">
        <v>88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77"/>
      <c r="C232" s="101" t="s">
        <v>98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5" customHeight="1" x14ac:dyDescent="0.3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35">
      <c r="A236" s="1"/>
      <c r="B236" s="277"/>
      <c r="C236" s="68" t="s">
        <v>16</v>
      </c>
      <c r="D236" s="266" t="s">
        <v>2</v>
      </c>
      <c r="E236" s="68" t="s">
        <v>162</v>
      </c>
      <c r="F236" s="68" t="s">
        <v>163</v>
      </c>
      <c r="G236" s="68" t="s">
        <v>164</v>
      </c>
      <c r="H236" s="68" t="s">
        <v>165</v>
      </c>
      <c r="I236" s="1"/>
      <c r="J236" s="111"/>
    </row>
    <row r="237" spans="1:10" ht="14.15" customHeight="1" x14ac:dyDescent="0.35">
      <c r="A237" s="65"/>
      <c r="B237" s="75"/>
      <c r="C237" s="90" t="s">
        <v>89</v>
      </c>
      <c r="D237" s="124">
        <v>800</v>
      </c>
      <c r="E237" s="124">
        <f>4.28912</f>
        <v>4.2891199999999996</v>
      </c>
      <c r="F237" s="124">
        <f>611.32483</f>
        <v>611.32483000000002</v>
      </c>
      <c r="G237" s="124">
        <f>D237-F237</f>
        <v>188.67516999999998</v>
      </c>
      <c r="H237" s="124">
        <f>679.30035</f>
        <v>679.30034999999998</v>
      </c>
      <c r="I237" s="65"/>
      <c r="J237" s="267"/>
    </row>
    <row r="238" spans="1:10" ht="14.15" customHeight="1" x14ac:dyDescent="0.35">
      <c r="A238" s="1"/>
      <c r="B238" s="277"/>
      <c r="C238" s="90" t="s">
        <v>90</v>
      </c>
      <c r="D238" s="269">
        <v>2193</v>
      </c>
      <c r="E238" s="124">
        <f>36.71028</f>
        <v>36.710279999999997</v>
      </c>
      <c r="F238" s="124">
        <f>1576.51287</f>
        <v>1576.51287</v>
      </c>
      <c r="G238" s="124">
        <f>D238-F238</f>
        <v>616.48712999999998</v>
      </c>
      <c r="H238" s="124">
        <f>2606.27227</f>
        <v>2606.2722699999999</v>
      </c>
      <c r="I238" s="173"/>
      <c r="J238" s="111"/>
    </row>
    <row r="239" spans="1:10" ht="16.5" customHeight="1" x14ac:dyDescent="0.35">
      <c r="A239" s="65"/>
      <c r="B239" s="75"/>
      <c r="C239" s="146" t="s">
        <v>77</v>
      </c>
      <c r="D239" s="269">
        <v>10</v>
      </c>
      <c r="E239" s="168">
        <f>0</f>
        <v>0</v>
      </c>
      <c r="F239" s="168">
        <f>3.0537</f>
        <v>3.0537000000000001</v>
      </c>
      <c r="G239" s="124">
        <f>D239-F239</f>
        <v>6.9462999999999999</v>
      </c>
      <c r="H239" s="168">
        <f>3.78662</f>
        <v>3.7866200000000001</v>
      </c>
      <c r="I239" s="65"/>
      <c r="J239" s="272"/>
    </row>
    <row r="240" spans="1:10" ht="18.75" customHeight="1" x14ac:dyDescent="0.35">
      <c r="A240" s="65"/>
      <c r="B240" s="273"/>
      <c r="C240" s="146" t="s">
        <v>91</v>
      </c>
      <c r="D240" s="245"/>
      <c r="E240" s="168">
        <f>0</f>
        <v>0</v>
      </c>
      <c r="F240" s="168">
        <f>3.26883</f>
        <v>3.2688299999999999</v>
      </c>
      <c r="G240" s="124">
        <f>D240-F240</f>
        <v>-3.2688299999999999</v>
      </c>
      <c r="H240" s="168">
        <f>2.54029</f>
        <v>2.5402900000000002</v>
      </c>
      <c r="I240" s="305"/>
      <c r="J240" s="117"/>
    </row>
    <row r="241" spans="1:10" ht="14.15" customHeight="1" x14ac:dyDescent="0.35">
      <c r="A241" s="1"/>
      <c r="B241" s="277"/>
      <c r="C241" s="179" t="s">
        <v>83</v>
      </c>
      <c r="D241" s="5">
        <f>D226</f>
        <v>3003</v>
      </c>
      <c r="E241" s="190">
        <f>SUM(E237:E240)</f>
        <v>40.999399999999994</v>
      </c>
      <c r="F241" s="190">
        <f>SUM(F237:F240)</f>
        <v>2194.16023</v>
      </c>
      <c r="G241" s="190">
        <f>D241-F241</f>
        <v>808.83977000000004</v>
      </c>
      <c r="H241" s="190">
        <f>H237+H238+H239+H240</f>
        <v>3291.8995299999997</v>
      </c>
      <c r="I241" s="1"/>
      <c r="J241" s="117"/>
    </row>
    <row r="242" spans="1:10" ht="14.15" customHeight="1" x14ac:dyDescent="0.3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35">
      <c r="A244" s="1"/>
      <c r="C244" s="145" t="s">
        <v>109</v>
      </c>
    </row>
    <row r="245" spans="1:10" ht="14.15" customHeight="1" x14ac:dyDescent="0.35">
      <c r="A245" s="1" t="s">
        <v>109</v>
      </c>
    </row>
    <row r="246" spans="1:10" ht="30" customHeight="1" x14ac:dyDescent="0.5">
      <c r="A246" s="223"/>
      <c r="B246" s="1"/>
      <c r="C246" s="213" t="s">
        <v>92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93</v>
      </c>
      <c r="F249" s="180"/>
      <c r="G249" s="144" t="s">
        <v>94</v>
      </c>
      <c r="H249" s="180"/>
      <c r="I249" s="145"/>
      <c r="J249" s="127"/>
    </row>
    <row r="250" spans="1:10" ht="14.25" customHeight="1" x14ac:dyDescent="0.35">
      <c r="B250" s="69"/>
      <c r="C250" s="281" t="s">
        <v>80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35">
      <c r="B251" s="69"/>
      <c r="C251" s="271" t="s">
        <v>87</v>
      </c>
      <c r="D251" s="46">
        <f>25446+880-1500</f>
        <v>24826</v>
      </c>
      <c r="E251" s="173" t="s">
        <v>90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35">
      <c r="B252" s="69"/>
      <c r="C252" s="271" t="s">
        <v>86</v>
      </c>
      <c r="D252" s="46">
        <v>8940</v>
      </c>
      <c r="E252" s="173" t="s">
        <v>56</v>
      </c>
      <c r="F252" s="45">
        <v>5500</v>
      </c>
      <c r="G252" s="271" t="s">
        <v>95</v>
      </c>
      <c r="H252" s="46">
        <v>5043</v>
      </c>
      <c r="I252" s="145"/>
      <c r="J252" s="127"/>
    </row>
    <row r="253" spans="1:10" ht="14.15" customHeight="1" x14ac:dyDescent="0.35">
      <c r="B253" s="69"/>
      <c r="C253" s="271"/>
      <c r="D253" s="46"/>
      <c r="E253" s="128"/>
      <c r="F253" s="141"/>
      <c r="G253" s="271" t="s">
        <v>96</v>
      </c>
      <c r="H253" s="46">
        <v>1506</v>
      </c>
      <c r="I253" s="145"/>
      <c r="J253" s="127"/>
    </row>
    <row r="254" spans="1:10" ht="14.15" customHeight="1" x14ac:dyDescent="0.35">
      <c r="B254" s="69"/>
      <c r="C254" s="57" t="s">
        <v>46</v>
      </c>
      <c r="D254" s="35">
        <v>71638</v>
      </c>
      <c r="E254" s="167" t="s">
        <v>97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4" customHeight="1" x14ac:dyDescent="0.35">
      <c r="B255" s="69"/>
      <c r="C255" s="204" t="s">
        <v>126</v>
      </c>
      <c r="D255" s="173"/>
      <c r="E255" s="173"/>
      <c r="F255" s="173"/>
      <c r="G255" s="1"/>
      <c r="H255" s="173"/>
      <c r="I255" s="173"/>
      <c r="J255" s="267"/>
    </row>
    <row r="256" spans="1:10" ht="13.4" customHeight="1" x14ac:dyDescent="0.35">
      <c r="B256" s="69"/>
      <c r="C256" s="205" t="s">
        <v>116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3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35">
      <c r="B261" s="69"/>
      <c r="C261" s="246" t="s">
        <v>16</v>
      </c>
      <c r="D261" s="255" t="s">
        <v>17</v>
      </c>
      <c r="E261" s="68" t="s">
        <v>133</v>
      </c>
      <c r="F261" s="246" t="s">
        <v>162</v>
      </c>
      <c r="G261" s="246" t="s">
        <v>163</v>
      </c>
      <c r="H261" s="246" t="s">
        <v>164</v>
      </c>
      <c r="I261" s="246" t="s">
        <v>165</v>
      </c>
      <c r="J261" s="127"/>
    </row>
    <row r="262" spans="1:10" ht="14.15" customHeight="1" x14ac:dyDescent="0.3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25.577999999999999</v>
      </c>
      <c r="G262" s="276">
        <f t="shared" si="17"/>
        <v>26162.407709999999</v>
      </c>
      <c r="H262" s="276">
        <f>H266+H265+H264+H263</f>
        <v>1573.5922900000014</v>
      </c>
      <c r="I262" s="276">
        <f t="shared" si="17"/>
        <v>20181.51225</v>
      </c>
      <c r="J262" s="127"/>
    </row>
    <row r="263" spans="1:10" ht="14.15" customHeight="1" x14ac:dyDescent="0.35">
      <c r="A263" s="223"/>
      <c r="B263" s="69"/>
      <c r="C263" s="278" t="s">
        <v>99</v>
      </c>
      <c r="D263" s="279">
        <v>14132</v>
      </c>
      <c r="E263" s="279">
        <v>16670</v>
      </c>
      <c r="F263" s="280">
        <f>0</f>
        <v>0</v>
      </c>
      <c r="G263" s="280">
        <f>18083.93813</f>
        <v>18083.938129999999</v>
      </c>
      <c r="H263" s="280">
        <f t="shared" ref="H263:H267" si="18">E263-G263</f>
        <v>-1413.9381299999986</v>
      </c>
      <c r="I263" s="280">
        <f>13104.53973</f>
        <v>13104.53973</v>
      </c>
      <c r="J263" s="127"/>
    </row>
    <row r="264" spans="1:10" ht="14.15" customHeight="1" x14ac:dyDescent="0.3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3098.57703</f>
        <v>3098.5770299999999</v>
      </c>
      <c r="H264" s="280">
        <f>E264-G264</f>
        <v>1240.4229700000001</v>
      </c>
      <c r="I264" s="280">
        <f>2382.55392</f>
        <v>2382.5539199999998</v>
      </c>
      <c r="J264" s="127"/>
    </row>
    <row r="265" spans="1:10" ht="14.15" customHeight="1" x14ac:dyDescent="0.35">
      <c r="A265" s="223"/>
      <c r="B265" s="69"/>
      <c r="C265" s="282" t="s">
        <v>96</v>
      </c>
      <c r="D265" s="279">
        <v>1506</v>
      </c>
      <c r="E265" s="279">
        <v>1571</v>
      </c>
      <c r="F265" s="280">
        <f>10.968</f>
        <v>10.968</v>
      </c>
      <c r="G265" s="280">
        <f>1771.51616</f>
        <v>1771.5161599999999</v>
      </c>
      <c r="H265" s="280">
        <f t="shared" si="18"/>
        <v>-200.5161599999999</v>
      </c>
      <c r="I265" s="280">
        <f>2156.41029</f>
        <v>2156.4102899999998</v>
      </c>
      <c r="J265" s="127"/>
    </row>
    <row r="266" spans="1:10" ht="14.15" customHeight="1" x14ac:dyDescent="0.35">
      <c r="A266" s="223"/>
      <c r="B266" s="69"/>
      <c r="C266" s="284" t="s">
        <v>119</v>
      </c>
      <c r="D266" s="285">
        <v>5043</v>
      </c>
      <c r="E266" s="285">
        <v>5156</v>
      </c>
      <c r="F266" s="280">
        <f>14.61</f>
        <v>14.61</v>
      </c>
      <c r="G266" s="280">
        <f>3208.37639</f>
        <v>3208.3763899999999</v>
      </c>
      <c r="H266" s="280">
        <f t="shared" si="18"/>
        <v>1947.6236100000001</v>
      </c>
      <c r="I266" s="280">
        <f>2538.00831</f>
        <v>2538.0083100000002</v>
      </c>
      <c r="J266" s="127"/>
    </row>
    <row r="267" spans="1:10" ht="14.15" customHeight="1" x14ac:dyDescent="0.35">
      <c r="A267" s="223"/>
      <c r="B267" s="69"/>
      <c r="C267" s="287" t="s">
        <v>56</v>
      </c>
      <c r="D267" s="288">
        <v>5500</v>
      </c>
      <c r="E267" s="288">
        <v>5500</v>
      </c>
      <c r="F267" s="290">
        <f>0.469</f>
        <v>0.46899999999999997</v>
      </c>
      <c r="G267" s="290">
        <f>4150.77124</f>
        <v>4150.77124</v>
      </c>
      <c r="H267" s="290">
        <f t="shared" si="18"/>
        <v>1349.22876</v>
      </c>
      <c r="I267" s="290">
        <f>2171.77478</f>
        <v>2171.7747800000002</v>
      </c>
      <c r="J267" s="127"/>
    </row>
    <row r="268" spans="1:10" ht="14.15" customHeight="1" x14ac:dyDescent="0.3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60.322589999999998</v>
      </c>
      <c r="G268" s="291">
        <f>G270+G269</f>
        <v>3776.79403</v>
      </c>
      <c r="H268" s="291">
        <f>E268-G268</f>
        <v>4223.20597</v>
      </c>
      <c r="I268" s="291">
        <f>I270+I269</f>
        <v>4226.5987699999996</v>
      </c>
      <c r="J268" s="127"/>
    </row>
    <row r="269" spans="1:10" ht="14.15" customHeight="1" x14ac:dyDescent="0.35">
      <c r="A269" s="223"/>
      <c r="B269" s="69"/>
      <c r="C269" s="282" t="s">
        <v>50</v>
      </c>
      <c r="D269" s="293"/>
      <c r="E269" s="279"/>
      <c r="F269" s="280">
        <f>3.2022</f>
        <v>3.2021999999999999</v>
      </c>
      <c r="G269" s="280">
        <f>546.34314</f>
        <v>546.34313999999995</v>
      </c>
      <c r="H269" s="280"/>
      <c r="I269" s="280">
        <f>1065.82857</f>
        <v>1065.8285699999999</v>
      </c>
      <c r="J269" s="127"/>
    </row>
    <row r="270" spans="1:10" ht="14.15" customHeight="1" x14ac:dyDescent="0.35">
      <c r="A270" s="223"/>
      <c r="B270" s="69"/>
      <c r="C270" s="295" t="s">
        <v>100</v>
      </c>
      <c r="D270" s="296"/>
      <c r="E270" s="298"/>
      <c r="F270" s="299">
        <f>57.12039</f>
        <v>57.12039</v>
      </c>
      <c r="G270" s="299">
        <f>3230.45089</f>
        <v>3230.4508900000001</v>
      </c>
      <c r="H270" s="299"/>
      <c r="I270" s="299">
        <f>3160.7702</f>
        <v>3160.7701999999999</v>
      </c>
      <c r="J270" s="127"/>
    </row>
    <row r="271" spans="1:10" ht="14.15" customHeight="1" x14ac:dyDescent="0.35">
      <c r="A271" s="223"/>
      <c r="B271" s="69"/>
      <c r="C271" s="287" t="s">
        <v>33</v>
      </c>
      <c r="D271" s="288">
        <v>13</v>
      </c>
      <c r="E271" s="288">
        <v>13</v>
      </c>
      <c r="F271" s="290">
        <f>0</f>
        <v>0</v>
      </c>
      <c r="G271" s="290">
        <f>0.7525</f>
        <v>0.75249999999999995</v>
      </c>
      <c r="H271" s="290">
        <f>E271-G271</f>
        <v>12.2475</v>
      </c>
      <c r="I271" s="290">
        <f>0.1565</f>
        <v>0.1565</v>
      </c>
      <c r="J271" s="127"/>
    </row>
    <row r="272" spans="1:10" ht="14.15" customHeight="1" x14ac:dyDescent="0.35">
      <c r="A272" s="223"/>
      <c r="B272" s="69"/>
      <c r="C272" s="300" t="s">
        <v>101</v>
      </c>
      <c r="D272" s="303"/>
      <c r="E272" s="304"/>
      <c r="F272" s="290">
        <f>2.52584</f>
        <v>2.5258400000000001</v>
      </c>
      <c r="G272" s="290">
        <f>189.49097</f>
        <v>189.49097</v>
      </c>
      <c r="H272" s="290">
        <f>E272-G272</f>
        <v>-189.49097</v>
      </c>
      <c r="I272" s="290">
        <f>133.81561</f>
        <v>133.81560999999999</v>
      </c>
      <c r="J272" s="127"/>
    </row>
    <row r="273" spans="1:10" ht="19.5" customHeight="1" x14ac:dyDescent="0.35">
      <c r="A273" s="223"/>
      <c r="B273" s="69"/>
      <c r="C273" s="306" t="s">
        <v>39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88.895430000000005</v>
      </c>
      <c r="G273" s="308">
        <f t="shared" si="19"/>
        <v>34280.21645</v>
      </c>
      <c r="H273" s="308">
        <f>H262+H267+H268+H271+H272</f>
        <v>6968.7835500000019</v>
      </c>
      <c r="I273" s="308">
        <f t="shared" si="19"/>
        <v>26713.857910000002</v>
      </c>
      <c r="J273" s="127"/>
    </row>
    <row r="274" spans="1:10" ht="14.15" customHeight="1" x14ac:dyDescent="0.35">
      <c r="A274" s="223"/>
      <c r="B274" s="69"/>
      <c r="C274" s="156" t="s">
        <v>102</v>
      </c>
      <c r="D274" s="310"/>
      <c r="E274" s="310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127</v>
      </c>
      <c r="D275" s="310"/>
      <c r="E275" s="310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135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109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109</v>
      </c>
      <c r="D279" s="152"/>
    </row>
    <row r="280" spans="1:10" ht="14.15" customHeight="1" x14ac:dyDescent="0.3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5" customHeight="1" x14ac:dyDescent="0.35">
      <c r="A281" s="223"/>
      <c r="B281" s="69"/>
      <c r="C281" s="233" t="s">
        <v>103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1" t="s">
        <v>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1" t="s">
        <v>87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1" t="s">
        <v>70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4" t="s">
        <v>117</v>
      </c>
      <c r="D288" s="324"/>
      <c r="E288" s="324"/>
      <c r="F288" s="324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35">
      <c r="A293" s="223"/>
      <c r="B293" s="193"/>
      <c r="C293" s="19" t="s">
        <v>104</v>
      </c>
      <c r="D293" s="21" t="s">
        <v>105</v>
      </c>
      <c r="E293" s="19" t="s">
        <v>162</v>
      </c>
      <c r="F293" s="19" t="s">
        <v>163</v>
      </c>
      <c r="G293" s="23" t="s">
        <v>164</v>
      </c>
      <c r="H293" s="19" t="s">
        <v>165</v>
      </c>
      <c r="I293" s="247"/>
      <c r="J293" s="13"/>
    </row>
    <row r="294" spans="1:10" ht="14.15" customHeight="1" x14ac:dyDescent="0.35">
      <c r="A294" s="223"/>
      <c r="B294" s="69"/>
      <c r="C294" s="287" t="s">
        <v>106</v>
      </c>
      <c r="D294" s="197">
        <v>779</v>
      </c>
      <c r="E294" s="25">
        <f>SUM(E295:E296)</f>
        <v>0</v>
      </c>
      <c r="F294" s="25">
        <f>SUM(F295:F296)</f>
        <v>925.70793000000003</v>
      </c>
      <c r="G294" s="82">
        <f>D294-F294</f>
        <v>-146.70793000000003</v>
      </c>
      <c r="H294" s="25">
        <f>SUM(H295:H296)</f>
        <v>1023.20588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0</f>
        <v>0</v>
      </c>
      <c r="F295" s="198">
        <f>684.79675</f>
        <v>684.79674999999997</v>
      </c>
      <c r="G295" s="199"/>
      <c r="H295" s="198">
        <f>778.94708</f>
        <v>778.94708000000003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244.2588</f>
        <v>244.25880000000001</v>
      </c>
      <c r="I296" s="145"/>
      <c r="J296" s="127"/>
    </row>
    <row r="297" spans="1:10" ht="14.15" customHeight="1" x14ac:dyDescent="0.35">
      <c r="A297" s="223"/>
      <c r="B297" s="69"/>
      <c r="C297" s="287" t="s">
        <v>107</v>
      </c>
      <c r="D297" s="9">
        <v>779</v>
      </c>
      <c r="E297" s="25">
        <f>SUM(E298:E299)</f>
        <v>31.6</v>
      </c>
      <c r="F297" s="25">
        <f>SUM(F298:F299)</f>
        <v>173.37400000000002</v>
      </c>
      <c r="G297" s="82">
        <f>D297-F297</f>
        <v>605.62599999999998</v>
      </c>
      <c r="H297" s="25">
        <f>SUM(H298:H299)</f>
        <v>236.30169999999998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23.5195</f>
        <v>23.519500000000001</v>
      </c>
      <c r="F298" s="29">
        <f>133.1553</f>
        <v>133.15530000000001</v>
      </c>
      <c r="G298" s="94"/>
      <c r="H298" s="29">
        <f>165.798</f>
        <v>165.798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4"/>
      <c r="E299" s="29">
        <f>8.0805</f>
        <v>8.0805000000000007</v>
      </c>
      <c r="F299" s="29">
        <f>40.2187</f>
        <v>40.218699999999998</v>
      </c>
      <c r="G299" s="105"/>
      <c r="H299" s="29">
        <f>70.5037</f>
        <v>70.503699999999995</v>
      </c>
      <c r="I299" s="145"/>
      <c r="J299" s="127"/>
    </row>
    <row r="300" spans="1:10" ht="14.15" customHeight="1" x14ac:dyDescent="0.35">
      <c r="A300" s="223"/>
      <c r="B300" s="69"/>
      <c r="C300" s="287" t="s">
        <v>108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5" customHeight="1" x14ac:dyDescent="0.35">
      <c r="A303" s="223"/>
      <c r="B303" s="69"/>
      <c r="C303" s="300" t="s">
        <v>91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06" t="s">
        <v>83</v>
      </c>
      <c r="D304" s="38">
        <f>D294+D297+D300</f>
        <v>2338</v>
      </c>
      <c r="E304" s="39">
        <f>E294+E297+E300+E303</f>
        <v>31.6</v>
      </c>
      <c r="F304" s="39">
        <f>F294+F297+F300+F303</f>
        <v>1099.0819300000001</v>
      </c>
      <c r="G304" s="40">
        <f>D304-F304</f>
        <v>1238.9180699999999</v>
      </c>
      <c r="H304" s="39">
        <f>H294+H297+H300+H303</f>
        <v>1259.50758</v>
      </c>
      <c r="I304" s="26"/>
      <c r="J304" s="127"/>
    </row>
    <row r="305" spans="1:10" ht="42" customHeight="1" x14ac:dyDescent="0.35">
      <c r="A305" s="223"/>
      <c r="B305" s="230"/>
      <c r="C305" s="326" t="s">
        <v>112</v>
      </c>
      <c r="D305" s="326"/>
      <c r="E305" s="326"/>
      <c r="F305" s="326"/>
      <c r="G305" s="326"/>
      <c r="H305" s="326"/>
      <c r="I305" s="326"/>
      <c r="J305" s="327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109</v>
      </c>
      <c r="D307" s="152"/>
    </row>
    <row r="308" spans="1:10" ht="15.65" customHeight="1" x14ac:dyDescent="0.3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9" customHeight="1" x14ac:dyDescent="0.35">
      <c r="A309" s="223"/>
      <c r="B309" s="69"/>
      <c r="C309" s="233" t="s">
        <v>142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143</v>
      </c>
      <c r="E311" s="212" t="s">
        <v>144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87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145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35">
      <c r="A315" s="223"/>
      <c r="B315" s="69"/>
      <c r="C315" s="172" t="s">
        <v>46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4" t="s">
        <v>154</v>
      </c>
      <c r="D316" s="324"/>
      <c r="E316" s="324"/>
      <c r="F316" s="324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35">
      <c r="A321" s="223"/>
      <c r="B321" s="193"/>
      <c r="C321" s="19" t="s">
        <v>104</v>
      </c>
      <c r="D321" s="19" t="s">
        <v>1</v>
      </c>
      <c r="E321" s="19" t="s">
        <v>162</v>
      </c>
      <c r="F321" s="19" t="s">
        <v>163</v>
      </c>
      <c r="G321" s="19" t="s">
        <v>164</v>
      </c>
      <c r="H321" s="19" t="s">
        <v>165</v>
      </c>
      <c r="I321" s="247"/>
      <c r="J321" s="13"/>
    </row>
    <row r="322" spans="1:10" ht="18.75" customHeight="1" x14ac:dyDescent="0.35">
      <c r="A322" s="223"/>
      <c r="B322" s="69"/>
      <c r="C322" s="236" t="s">
        <v>151</v>
      </c>
      <c r="D322" s="237">
        <v>248</v>
      </c>
      <c r="E322" s="29">
        <f>0.58414</f>
        <v>0.58413999999999999</v>
      </c>
      <c r="F322" s="29">
        <f>1095.73763</f>
        <v>1095.7376300000001</v>
      </c>
      <c r="G322" s="238">
        <f>D322-F322</f>
        <v>-847.73763000000008</v>
      </c>
      <c r="H322" s="29">
        <f>667.93739</f>
        <v>667.93739000000005</v>
      </c>
      <c r="I322" s="242"/>
      <c r="J322" s="127"/>
    </row>
    <row r="323" spans="1:10" ht="17.5" customHeight="1" x14ac:dyDescent="0.35">
      <c r="A323" s="223"/>
      <c r="B323" s="69"/>
      <c r="C323" s="239" t="s">
        <v>152</v>
      </c>
      <c r="D323" s="240">
        <v>22048</v>
      </c>
      <c r="E323" s="29">
        <f>14.97867</f>
        <v>14.978669999999999</v>
      </c>
      <c r="F323" s="29">
        <f>2101.58812</f>
        <v>2101.5881199999999</v>
      </c>
      <c r="G323" s="241">
        <f>D323-F323</f>
        <v>19946.41188</v>
      </c>
      <c r="H323" s="29">
        <f>2289.55747</f>
        <v>2289.5574700000002</v>
      </c>
      <c r="I323" s="26"/>
      <c r="J323" s="127"/>
    </row>
    <row r="324" spans="1:10" ht="17.149999999999999" customHeight="1" x14ac:dyDescent="0.35">
      <c r="A324" s="223"/>
      <c r="B324" s="69"/>
      <c r="C324" s="306" t="s">
        <v>83</v>
      </c>
      <c r="D324" s="229">
        <f>D322+D323</f>
        <v>22296</v>
      </c>
      <c r="E324" s="39">
        <f>E323+E322</f>
        <v>15.562809999999999</v>
      </c>
      <c r="F324" s="39">
        <f>F323+F322</f>
        <v>3197.32575</v>
      </c>
      <c r="G324" s="39">
        <f>G323+G322</f>
        <v>19098.67425</v>
      </c>
      <c r="H324" s="39">
        <f>H323+H322</f>
        <v>2957.4948600000002</v>
      </c>
      <c r="I324" s="26"/>
      <c r="J324" s="127"/>
    </row>
    <row r="325" spans="1:10" ht="22.5" customHeight="1" x14ac:dyDescent="0.35">
      <c r="A325" s="223"/>
      <c r="B325" s="69"/>
      <c r="C325" s="322" t="s">
        <v>153</v>
      </c>
      <c r="D325" s="322"/>
      <c r="E325" s="322"/>
      <c r="F325" s="322"/>
      <c r="G325" s="322"/>
      <c r="H325" s="322"/>
      <c r="I325" s="322"/>
      <c r="J325" s="323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109</v>
      </c>
      <c r="D328" s="152"/>
    </row>
    <row r="329" spans="1:10" ht="0" hidden="1" customHeight="1" x14ac:dyDescent="0.3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35">
      <c r="A330" s="223"/>
      <c r="B330" s="69"/>
      <c r="C330" s="233" t="s">
        <v>142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143</v>
      </c>
      <c r="E332" s="212" t="s">
        <v>144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87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145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21" t="s">
        <v>146</v>
      </c>
      <c r="D337" s="321"/>
      <c r="E337" s="321"/>
      <c r="F337" s="321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35">
      <c r="A342" s="223"/>
      <c r="B342" s="193"/>
      <c r="C342" s="19" t="s">
        <v>104</v>
      </c>
      <c r="D342" s="19" t="s">
        <v>1</v>
      </c>
      <c r="E342" s="246" t="s">
        <v>147</v>
      </c>
      <c r="F342" s="246" t="s">
        <v>148</v>
      </c>
      <c r="G342" s="246" t="s">
        <v>149</v>
      </c>
      <c r="H342" s="224" t="s">
        <v>150</v>
      </c>
      <c r="I342" s="247"/>
      <c r="J342" s="13"/>
    </row>
    <row r="343" spans="1:10" ht="0" hidden="1" customHeight="1" x14ac:dyDescent="0.35">
      <c r="A343" s="223"/>
      <c r="B343" s="69"/>
      <c r="C343" s="225" t="s">
        <v>151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87" t="s">
        <v>152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06" t="s">
        <v>83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22" t="s">
        <v>153</v>
      </c>
      <c r="D346" s="322"/>
      <c r="E346" s="322"/>
      <c r="F346" s="322"/>
      <c r="G346" s="322"/>
      <c r="H346" s="322"/>
      <c r="I346" s="322"/>
      <c r="J346" s="323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48&amp;R01.12.2025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2025-12-03T13:01:36Z</dcterms:modified>
</cp:coreProperties>
</file>