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171D68EB-CA89-4DA4-A975-73ED1AC603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H294" i="1"/>
  <c r="H304" i="1" s="1"/>
  <c r="F294" i="1"/>
  <c r="F304" i="1" s="1"/>
  <c r="G304" i="1" s="1"/>
  <c r="E294" i="1"/>
  <c r="E304" i="1" s="1"/>
  <c r="D273" i="1"/>
  <c r="I272" i="1"/>
  <c r="H272" i="1"/>
  <c r="G272" i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I269" i="1"/>
  <c r="G269" i="1"/>
  <c r="F269" i="1"/>
  <c r="F268" i="1"/>
  <c r="I267" i="1"/>
  <c r="G267" i="1"/>
  <c r="H267" i="1" s="1"/>
  <c r="F267" i="1"/>
  <c r="I266" i="1"/>
  <c r="G266" i="1"/>
  <c r="H266" i="1" s="1"/>
  <c r="F266" i="1"/>
  <c r="F262" i="1" s="1"/>
  <c r="F273" i="1" s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I262" i="1"/>
  <c r="G262" i="1"/>
  <c r="G273" i="1" s="1"/>
  <c r="E262" i="1"/>
  <c r="E273" i="1" s="1"/>
  <c r="D262" i="1"/>
  <c r="H254" i="1"/>
  <c r="F254" i="1"/>
  <c r="D251" i="1"/>
  <c r="D250" i="1"/>
  <c r="E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D230" i="1"/>
  <c r="D219" i="1"/>
  <c r="H218" i="1"/>
  <c r="H219" i="1" s="1"/>
  <c r="F218" i="1"/>
  <c r="G218" i="1" s="1"/>
  <c r="E218" i="1"/>
  <c r="H217" i="1"/>
  <c r="F217" i="1"/>
  <c r="E217" i="1"/>
  <c r="E215" i="1" s="1"/>
  <c r="E219" i="1" s="1"/>
  <c r="H216" i="1"/>
  <c r="F216" i="1"/>
  <c r="F215" i="1" s="1"/>
  <c r="E216" i="1"/>
  <c r="H215" i="1"/>
  <c r="H206" i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H202" i="1"/>
  <c r="E202" i="1"/>
  <c r="E206" i="1" s="1"/>
  <c r="E192" i="1"/>
  <c r="D192" i="1"/>
  <c r="H192" i="1" s="1"/>
  <c r="I191" i="1"/>
  <c r="H191" i="1"/>
  <c r="G191" i="1"/>
  <c r="F191" i="1"/>
  <c r="I190" i="1"/>
  <c r="I192" i="1" s="1"/>
  <c r="G190" i="1"/>
  <c r="H190" i="1" s="1"/>
  <c r="F190" i="1"/>
  <c r="I189" i="1"/>
  <c r="H189" i="1"/>
  <c r="G189" i="1"/>
  <c r="G192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F163" i="1" s="1"/>
  <c r="G163" i="1" s="1"/>
  <c r="E166" i="1"/>
  <c r="H165" i="1"/>
  <c r="F165" i="1"/>
  <c r="E165" i="1"/>
  <c r="H164" i="1"/>
  <c r="H163" i="1" s="1"/>
  <c r="F164" i="1"/>
  <c r="E164" i="1"/>
  <c r="E163" i="1" s="1"/>
  <c r="E169" i="1" s="1"/>
  <c r="H162" i="1"/>
  <c r="G162" i="1"/>
  <c r="F162" i="1"/>
  <c r="E162" i="1"/>
  <c r="H161" i="1"/>
  <c r="H169" i="1" s="1"/>
  <c r="F161" i="1"/>
  <c r="E161" i="1"/>
  <c r="H160" i="1"/>
  <c r="F160" i="1"/>
  <c r="G160" i="1" s="1"/>
  <c r="E160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I126" i="1" s="1"/>
  <c r="G127" i="1"/>
  <c r="G126" i="1" s="1"/>
  <c r="F127" i="1"/>
  <c r="F126" i="1" s="1"/>
  <c r="F120" i="1" s="1"/>
  <c r="E126" i="1"/>
  <c r="D126" i="1"/>
  <c r="I125" i="1"/>
  <c r="I121" i="1" s="1"/>
  <c r="I120" i="1" s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H122" i="1" s="1"/>
  <c r="F122" i="1"/>
  <c r="F121" i="1"/>
  <c r="E121" i="1"/>
  <c r="E120" i="1" s="1"/>
  <c r="D121" i="1"/>
  <c r="D120" i="1"/>
  <c r="I119" i="1"/>
  <c r="G119" i="1"/>
  <c r="H119" i="1" s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G116" i="1"/>
  <c r="F116" i="1"/>
  <c r="F115" i="1" s="1"/>
  <c r="F137" i="1" s="1"/>
  <c r="G115" i="1"/>
  <c r="E115" i="1"/>
  <c r="E137" i="1" s="1"/>
  <c r="D115" i="1"/>
  <c r="D137" i="1" s="1"/>
  <c r="C113" i="1"/>
  <c r="D94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G84" i="1"/>
  <c r="F84" i="1"/>
  <c r="F83" i="1" s="1"/>
  <c r="F82" i="1" s="1"/>
  <c r="I83" i="1"/>
  <c r="I82" i="1" s="1"/>
  <c r="G83" i="1"/>
  <c r="E83" i="1"/>
  <c r="D83" i="1"/>
  <c r="G82" i="1"/>
  <c r="E82" i="1"/>
  <c r="D82" i="1"/>
  <c r="I81" i="1"/>
  <c r="H81" i="1"/>
  <c r="G81" i="1"/>
  <c r="F81" i="1"/>
  <c r="F79" i="1" s="1"/>
  <c r="F94" i="1" s="1"/>
  <c r="I80" i="1"/>
  <c r="I79" i="1" s="1"/>
  <c r="G80" i="1"/>
  <c r="G79" i="1" s="1"/>
  <c r="G94" i="1" s="1"/>
  <c r="F80" i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F52" i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G34" i="1"/>
  <c r="G33" i="1" s="1"/>
  <c r="F34" i="1"/>
  <c r="I33" i="1"/>
  <c r="F33" i="1"/>
  <c r="E33" i="1"/>
  <c r="D33" i="1"/>
  <c r="D25" i="1" s="1"/>
  <c r="I32" i="1"/>
  <c r="G32" i="1"/>
  <c r="H32" i="1" s="1"/>
  <c r="F32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E26" i="1"/>
  <c r="D26" i="1"/>
  <c r="E25" i="1"/>
  <c r="I24" i="1"/>
  <c r="H24" i="1"/>
  <c r="G24" i="1"/>
  <c r="F24" i="1"/>
  <c r="I23" i="1"/>
  <c r="I22" i="1" s="1"/>
  <c r="G23" i="1"/>
  <c r="G22" i="1" s="1"/>
  <c r="F23" i="1"/>
  <c r="F22" i="1"/>
  <c r="E22" i="1"/>
  <c r="E42" i="1" s="1"/>
  <c r="D22" i="1"/>
  <c r="H16" i="1"/>
  <c r="F16" i="1"/>
  <c r="D16" i="1"/>
  <c r="I26" i="1" l="1"/>
  <c r="I25" i="1" s="1"/>
  <c r="I42" i="1" s="1"/>
  <c r="F26" i="1"/>
  <c r="F25" i="1" s="1"/>
  <c r="F42" i="1" s="1"/>
  <c r="I273" i="1"/>
  <c r="H26" i="1"/>
  <c r="H22" i="1"/>
  <c r="H83" i="1"/>
  <c r="H82" i="1" s="1"/>
  <c r="H115" i="1"/>
  <c r="H137" i="1" s="1"/>
  <c r="G202" i="1"/>
  <c r="F206" i="1"/>
  <c r="G206" i="1"/>
  <c r="H262" i="1"/>
  <c r="H273" i="1" s="1"/>
  <c r="F219" i="1"/>
  <c r="G215" i="1"/>
  <c r="G219" i="1"/>
  <c r="D42" i="1"/>
  <c r="H31" i="1"/>
  <c r="G26" i="1"/>
  <c r="G25" i="1" s="1"/>
  <c r="G42" i="1" s="1"/>
  <c r="I137" i="1"/>
  <c r="H121" i="1"/>
  <c r="H120" i="1" s="1"/>
  <c r="H33" i="1"/>
  <c r="H25" i="1" s="1"/>
  <c r="I94" i="1"/>
  <c r="H23" i="1"/>
  <c r="H52" i="1"/>
  <c r="H80" i="1"/>
  <c r="H79" i="1" s="1"/>
  <c r="G121" i="1"/>
  <c r="G120" i="1" s="1"/>
  <c r="G137" i="1" s="1"/>
  <c r="G237" i="1"/>
  <c r="H34" i="1"/>
  <c r="F169" i="1"/>
  <c r="G169" i="1" s="1"/>
  <c r="H127" i="1"/>
  <c r="H126" i="1" s="1"/>
  <c r="G294" i="1"/>
  <c r="H42" i="1" l="1"/>
  <c r="H94" i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<sst xmlns="http://schemas.openxmlformats.org/spreadsheetml/2006/main" count="351" uniqueCount="154">
  <si>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</si>
  <si>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</si>
  <si>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</si>
  <si>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</si>
  <si>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</si>
  <si>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</si>
  <si>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</si>
  <si>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</si>
  <si>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</si>
  <si>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</si>
  <si>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</si>
  <si>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</si>
  <si>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</si>
  <si>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</si>
  <si>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</si>
  <si>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</si>
  <si>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</si>
  <si>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</si>
  <si>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</si>
  <si>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</si>
  <si>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</si>
  <si>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</si>
  <si>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</si>
  <si>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</si>
  <si>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</si>
  <si>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</si>
  <si>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</si>
  <si>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</si>
  <si>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</si>
  <si>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</si>
  <si>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</si>
  <si>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</si>
  <si>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</si>
  <si>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</si>
  <si>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</si>
  <si>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</si>
  <si>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</si>
  <si>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</si>
  <si>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</si>
  <si>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</si>
  <si>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</si>
  <si>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</si>
  <si>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</si>
  <si>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</si>
  <si>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</si>
  <si>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</si>
  <si>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</si>
  <si>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</si>
  <si>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</si>
  <si>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</si>
  <si>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</si>
  <si>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</si>
  <si>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</si>
  <si>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</si>
  <si>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</si>
  <si>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</si>
  <si>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</si>
  <si>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</si>
  <si>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</si>
  <si>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</si>
  <si>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</si>
  <si>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</si>
  <si>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</si>
  <si>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</si>
  <si>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</si>
  <si>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</si>
  <si>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</si>
  <si>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</si>
  <si>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</si>
  <si>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</si>
  <si>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</si>
  <si>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</si>
  <si>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</si>
  <si>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</si>
  <si>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</si>
  <si>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</si>
  <si>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</si>
  <si>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</si>
  <si>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</si>
  <si>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</si>
  <si>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</si>
  <si>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</si>
  <si>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</si>
  <si>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</si>
  <si>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</si>
  <si>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</si>
  <si>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</si>
  <si>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</si>
  <si>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</si>
  <si>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</si>
  <si>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</si>
  <si>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</si>
  <si>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</si>
  <si>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</si>
  <si>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</si>
  <si>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</si>
  <si>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</si>
  <si>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</si>
  <si>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</si>
  <si>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</si>
  <si>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</si>
  <si>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</si>
  <si>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</si>
  <si>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</si>
  <si>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</si>
  <si>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</si>
  <si>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</si>
  <si>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</si>
  <si>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</si>
  <si>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</si>
  <si>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</si>
  <si>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</si>
  <si>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</si>
  <si>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</si>
  <si>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</si>
  <si>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</si>
  <si>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</si>
  <si>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</si>
  <si>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</si>
  <si>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</si>
  <si>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</si>
  <si>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</si>
  <si>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</si>
  <si>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</si>
  <si>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</si>
  <si>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</si>
  <si>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</si>
  <si>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</si>
  <si>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</si>
  <si>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</si>
  <si>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</si>
  <si>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</si>
  <si>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</si>
  <si>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</si>
  <si>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</si>
  <si>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</si>
  <si>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</si>
  <si>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</si>
  <si>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</si>
  <si>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</si>
  <si>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</si>
  <si>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</si>
  <si>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</si>
  <si>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</si>
  <si>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</si>
  <si>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</si>
  <si>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23 tonn, men det legges til grunn at hele avsetningen tas</t>
  </si>
  <si>
    <t>4 Registrert rekreasjonsfiske utgjør 81 tonn, men det legges til grunn at hele avsetningen tas</t>
  </si>
  <si>
    <t>3 Registrert rekreasjonsfiske utgjør 276 tonn, men det legges til grunn at hele avsetningen tas</t>
  </si>
  <si>
    <t>FANGST UKE 13</t>
  </si>
  <si>
    <t>FANGST T.O.M UKE 13</t>
  </si>
  <si>
    <t>RESTKVOTER UKE 13</t>
  </si>
  <si>
    <t>FANGST T.O.M UKE 13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</si>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</sst>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128" zoomScale="101" zoomScaleNormal="55" zoomScaleSheetLayoutView="100" zoomScalePageLayoutView="85" workbookViewId="0">
      <selection activeCell="I143" sqref="I14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3"/>
      <c r="J11" s="245"/>
    </row>
    <row r="12" spans="1:10" ht="14.15" customHeight="1" x14ac:dyDescent="0.3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3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3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3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5" customHeight="1" x14ac:dyDescent="0.3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35">
      <c r="A17" s="101"/>
      <c r="B17" s="24"/>
      <c r="C17" s="301" t="s">
        <v>144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3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3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3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149</v>
      </c>
      <c r="G21" s="68" t="s">
        <v>150</v>
      </c>
      <c r="H21" s="68" t="s">
        <v>151</v>
      </c>
      <c r="I21" s="68" t="s">
        <v>152</v>
      </c>
      <c r="J21" s="279"/>
    </row>
    <row r="22" spans="1:10" ht="14.15" customHeight="1" x14ac:dyDescent="0.3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201.16499999999999</v>
      </c>
      <c r="G22" s="27">
        <f t="shared" si="0"/>
        <v>11133.547630000001</v>
      </c>
      <c r="H22" s="10">
        <f t="shared" si="0"/>
        <v>30452.452370000003</v>
      </c>
      <c r="I22" s="10">
        <f t="shared" si="0"/>
        <v>26475.825370000002</v>
      </c>
      <c r="J22" s="245"/>
    </row>
    <row r="23" spans="1:10" ht="14.15" customHeight="1" x14ac:dyDescent="0.35">
      <c r="A23" s="1"/>
      <c r="B23" s="255"/>
      <c r="C23" s="43" t="s">
        <v>20</v>
      </c>
      <c r="D23" s="44">
        <v>38040</v>
      </c>
      <c r="E23" s="44">
        <v>40823</v>
      </c>
      <c r="F23" s="22">
        <f>201.165</f>
        <v>201.16499999999999</v>
      </c>
      <c r="G23" s="22">
        <f>10998.78763</f>
        <v>10998.787630000001</v>
      </c>
      <c r="H23" s="22">
        <f>E23-G23</f>
        <v>29824.212370000001</v>
      </c>
      <c r="I23" s="22">
        <f>26086.72879</f>
        <v>26086.728790000001</v>
      </c>
      <c r="J23" s="245"/>
    </row>
    <row r="24" spans="1:10" ht="14.15" customHeight="1" x14ac:dyDescent="0.35">
      <c r="A24" s="1"/>
      <c r="B24" s="255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134.76</f>
        <v>134.76</v>
      </c>
      <c r="H24" s="22">
        <f>E24-G24</f>
        <v>628.24</v>
      </c>
      <c r="I24" s="22">
        <f>389.09658</f>
        <v>389.09658000000002</v>
      </c>
      <c r="J24" s="245"/>
    </row>
    <row r="25" spans="1:10" ht="14.15" customHeight="1" x14ac:dyDescent="0.3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10913.10304</v>
      </c>
      <c r="G25" s="10">
        <f t="shared" si="1"/>
        <v>69444.923300000009</v>
      </c>
      <c r="H25" s="10">
        <f t="shared" si="1"/>
        <v>52223.076699999998</v>
      </c>
      <c r="I25" s="10">
        <f t="shared" si="1"/>
        <v>90727.242809999996</v>
      </c>
      <c r="J25" s="245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8506.4804299999996</v>
      </c>
      <c r="G26" s="129">
        <f>G27+G28+G29+G30+G31</f>
        <v>57505.056120000008</v>
      </c>
      <c r="H26" s="129">
        <f t="shared" ref="H26:I26" si="2">H27+H28+H29+H30+H31</f>
        <v>37387.943879999999</v>
      </c>
      <c r="I26" s="129">
        <f t="shared" si="2"/>
        <v>76231.447400000005</v>
      </c>
      <c r="J26" s="245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3163.86308 - F55</f>
        <v>3163.8630800000001</v>
      </c>
      <c r="G27" s="123">
        <f>15361.43734 - G55</f>
        <v>15361.43734</v>
      </c>
      <c r="H27" s="123">
        <f t="shared" ref="H27:H39" si="3">E27-G27</f>
        <v>9791.5626599999996</v>
      </c>
      <c r="I27" s="123">
        <f>19843.96151 - I55</f>
        <v>19843.961510000001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2575.32631 - F56</f>
        <v>2575.3263099999999</v>
      </c>
      <c r="G28" s="123">
        <f>16992.62457 - G56</f>
        <v>16992.62457</v>
      </c>
      <c r="H28" s="123">
        <f t="shared" si="3"/>
        <v>7001.3754300000001</v>
      </c>
      <c r="I28" s="123">
        <f>22770.54947 - I56</f>
        <v>22770.549470000002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1992.40648 - F57</f>
        <v>1992.4064800000001</v>
      </c>
      <c r="G29" s="123">
        <f>15108.6676 - G57</f>
        <v>15108.667600000001</v>
      </c>
      <c r="H29" s="123">
        <f t="shared" si="3"/>
        <v>6761.3323999999993</v>
      </c>
      <c r="I29" s="123">
        <f>19596.9805 - I57</f>
        <v>19596.980500000001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1010.88456 - F58</f>
        <v>774.88455999999996</v>
      </c>
      <c r="G30" s="123">
        <f>10841.32661 - G58</f>
        <v>10042.32661</v>
      </c>
      <c r="H30" s="123">
        <f t="shared" si="3"/>
        <v>5602.6733899999999</v>
      </c>
      <c r="I30" s="123">
        <f>15197.95592 - I58</f>
        <v>14019.95592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575.18624</f>
        <v>575.18624</v>
      </c>
      <c r="G32" s="129">
        <f>4447.65431</f>
        <v>4447.6543099999999</v>
      </c>
      <c r="H32" s="129">
        <f t="shared" si="3"/>
        <v>9231.3456900000001</v>
      </c>
      <c r="I32" s="129">
        <f>5612.172</f>
        <v>5612.1719999999996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1831.4363699999999</v>
      </c>
      <c r="G33" s="129">
        <f>G34+G35</f>
        <v>7492.2128700000003</v>
      </c>
      <c r="H33" s="129">
        <f t="shared" si="3"/>
        <v>5603.7871299999997</v>
      </c>
      <c r="I33" s="129">
        <f>I34+I35</f>
        <v>8883.6234100000001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1831.43637 - F59 - F60</f>
        <v>1831.4363699999999</v>
      </c>
      <c r="G34" s="129">
        <f>7492.21287 - G59 - G60</f>
        <v>7492.2128700000003</v>
      </c>
      <c r="H34" s="123">
        <f t="shared" si="3"/>
        <v>4643.7871299999997</v>
      </c>
      <c r="I34" s="123">
        <f>8883.62341 - I59 - I60</f>
        <v>8883.6234100000001</v>
      </c>
      <c r="J34" s="63"/>
    </row>
    <row r="35" spans="1:10" ht="14.15" customHeight="1" x14ac:dyDescent="0.3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55"/>
      <c r="C36" s="70" t="s">
        <v>33</v>
      </c>
      <c r="D36" s="140">
        <v>1000</v>
      </c>
      <c r="E36" s="140">
        <v>1000</v>
      </c>
      <c r="F36" s="136">
        <f>5.5892</f>
        <v>5.5891999999999999</v>
      </c>
      <c r="G36" s="136">
        <f>94.2006</f>
        <v>94.200599999999994</v>
      </c>
      <c r="H36" s="136">
        <f t="shared" si="3"/>
        <v>905.79939999999999</v>
      </c>
      <c r="I36" s="136">
        <f>192.2708</f>
        <v>192.27080000000001</v>
      </c>
      <c r="J36" s="245"/>
    </row>
    <row r="37" spans="1:10" ht="14.15" customHeight="1" x14ac:dyDescent="0.35">
      <c r="A37" s="1"/>
      <c r="B37" s="255"/>
      <c r="C37" s="70" t="s">
        <v>34</v>
      </c>
      <c r="D37" s="140">
        <v>855</v>
      </c>
      <c r="E37" s="140">
        <v>855</v>
      </c>
      <c r="F37" s="95">
        <f>44.24115</f>
        <v>44.241149999999998</v>
      </c>
      <c r="G37" s="95">
        <f>365.0725</f>
        <v>365.07249999999999</v>
      </c>
      <c r="H37" s="95">
        <f t="shared" si="3"/>
        <v>489.92750000000001</v>
      </c>
      <c r="I37" s="95">
        <f>355.81284</f>
        <v>355.81283999999999</v>
      </c>
      <c r="J37" s="245"/>
    </row>
    <row r="38" spans="1:10" ht="17.25" customHeight="1" x14ac:dyDescent="0.3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236</v>
      </c>
      <c r="G38" s="95">
        <f>G58</f>
        <v>799</v>
      </c>
      <c r="H38" s="95">
        <f t="shared" si="3"/>
        <v>2201</v>
      </c>
      <c r="I38" s="95">
        <f>I58</f>
        <v>1178</v>
      </c>
      <c r="J38" s="245"/>
    </row>
    <row r="39" spans="1:10" ht="17.25" customHeight="1" x14ac:dyDescent="0.35">
      <c r="A39" s="1"/>
      <c r="B39" s="255"/>
      <c r="C39" s="70" t="s">
        <v>36</v>
      </c>
      <c r="D39" s="140">
        <v>7000</v>
      </c>
      <c r="E39" s="140">
        <v>7000</v>
      </c>
      <c r="F39" s="95">
        <f>58.33792</f>
        <v>58.337919999999997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35">
      <c r="A40" s="1"/>
      <c r="B40" s="255"/>
      <c r="C40" s="70" t="s">
        <v>38</v>
      </c>
      <c r="D40" s="140">
        <v>450</v>
      </c>
      <c r="E40" s="140">
        <v>450</v>
      </c>
      <c r="F40" s="95">
        <f>73.4277</f>
        <v>73.427700000000002</v>
      </c>
      <c r="G40" s="95">
        <f>206.48731</f>
        <v>206.48731000000001</v>
      </c>
      <c r="H40" s="95">
        <f>E40-G40</f>
        <v>243.51268999999999</v>
      </c>
      <c r="I40" s="95">
        <f>205.45345</f>
        <v>205.45345</v>
      </c>
      <c r="J40" s="245"/>
    </row>
    <row r="41" spans="1:10" ht="14.15" customHeight="1" x14ac:dyDescent="0.35">
      <c r="A41" s="1"/>
      <c r="B41" s="255"/>
      <c r="C41" s="70" t="s">
        <v>39</v>
      </c>
      <c r="D41" s="140"/>
      <c r="E41" s="136"/>
      <c r="F41" s="136">
        <f>12.6705</f>
        <v>12.670500000000001</v>
      </c>
      <c r="G41" s="136">
        <f>48.24703</f>
        <v>48.247030000000002</v>
      </c>
      <c r="H41" s="136">
        <f t="shared" ref="H41" si="4">E41-G41</f>
        <v>-48.247030000000002</v>
      </c>
      <c r="I41" s="136">
        <f>65.20126</f>
        <v>65.201260000000005</v>
      </c>
      <c r="J41" s="245"/>
    </row>
    <row r="42" spans="1:10" ht="16.5" customHeight="1" x14ac:dyDescent="0.3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11544.534510000001</v>
      </c>
      <c r="G42" s="73">
        <f t="shared" si="5"/>
        <v>89091.478369999997</v>
      </c>
      <c r="H42" s="73">
        <f t="shared" si="5"/>
        <v>86467.521630000017</v>
      </c>
      <c r="I42" s="73">
        <f t="shared" si="5"/>
        <v>126199.80653</v>
      </c>
      <c r="J42" s="245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5" customHeight="1" x14ac:dyDescent="0.35">
      <c r="A45" s="101"/>
      <c r="B45" s="24"/>
      <c r="C45" s="156" t="s">
        <v>148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35">
      <c r="A49" s="101"/>
      <c r="B49" s="24"/>
      <c r="C49" s="293" t="s">
        <v>43</v>
      </c>
      <c r="D49" s="293"/>
      <c r="E49" s="293"/>
      <c r="F49" s="293"/>
      <c r="G49" s="293"/>
      <c r="H49" s="293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149</v>
      </c>
      <c r="G51" s="68" t="s">
        <v>150</v>
      </c>
      <c r="H51" s="68" t="s">
        <v>151</v>
      </c>
      <c r="I51" s="68" t="s">
        <v>152</v>
      </c>
      <c r="J51" s="245"/>
    </row>
    <row r="52" spans="1:10" ht="14.15" customHeight="1" x14ac:dyDescent="0.35">
      <c r="A52" s="101"/>
      <c r="B52" s="24"/>
      <c r="C52" s="15" t="s">
        <v>45</v>
      </c>
      <c r="D52" s="294">
        <v>7872</v>
      </c>
      <c r="E52" s="294">
        <v>8231</v>
      </c>
      <c r="F52" s="10">
        <f>F56+F55+F54+F53</f>
        <v>0</v>
      </c>
      <c r="G52" s="10">
        <f>G56+G55+G54+G53</f>
        <v>0</v>
      </c>
      <c r="H52" s="294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295"/>
      <c r="E53" s="295"/>
      <c r="F53" s="123"/>
      <c r="G53" s="123"/>
      <c r="H53" s="295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295"/>
      <c r="E54" s="295"/>
      <c r="F54" s="123"/>
      <c r="G54" s="123"/>
      <c r="H54" s="295"/>
      <c r="I54" s="123"/>
      <c r="J54" s="245"/>
    </row>
    <row r="55" spans="1:10" ht="14.15" customHeight="1" x14ac:dyDescent="0.35">
      <c r="A55" s="101"/>
      <c r="B55" s="24"/>
      <c r="C55" s="60" t="s">
        <v>26</v>
      </c>
      <c r="D55" s="295"/>
      <c r="E55" s="295"/>
      <c r="F55" s="123"/>
      <c r="G55" s="123"/>
      <c r="H55" s="295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296"/>
      <c r="E56" s="296"/>
      <c r="F56" s="186"/>
      <c r="G56" s="186"/>
      <c r="H56" s="296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236</v>
      </c>
      <c r="G58" s="136">
        <v>799</v>
      </c>
      <c r="H58" s="136">
        <f>E58-G58</f>
        <v>2201</v>
      </c>
      <c r="I58" s="136">
        <v>1178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297" t="s">
        <v>1</v>
      </c>
      <c r="D68" s="298"/>
      <c r="E68" s="297" t="s">
        <v>2</v>
      </c>
      <c r="F68" s="299"/>
      <c r="G68" s="297" t="s">
        <v>3</v>
      </c>
      <c r="H68" s="298"/>
      <c r="I68" s="173"/>
      <c r="J68" s="245"/>
    </row>
    <row r="69" spans="1:10" ht="15" customHeight="1" x14ac:dyDescent="0.35">
      <c r="B69" s="255"/>
      <c r="C69" s="110" t="s">
        <v>143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3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5" customHeight="1" x14ac:dyDescent="0.3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3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35">
      <c r="A73" s="1"/>
      <c r="B73" s="255"/>
      <c r="C73" s="101" t="s">
        <v>145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3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5" customHeight="1" x14ac:dyDescent="0.3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3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3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149</v>
      </c>
      <c r="G78" s="14" t="s">
        <v>150</v>
      </c>
      <c r="H78" s="14" t="s">
        <v>151</v>
      </c>
      <c r="I78" s="14" t="s">
        <v>152</v>
      </c>
      <c r="J78" s="117"/>
    </row>
    <row r="79" spans="1:10" ht="14.15" customHeight="1" x14ac:dyDescent="0.3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267.40140000000002</v>
      </c>
      <c r="G79" s="10">
        <f t="shared" si="6"/>
        <v>9956.0785400000004</v>
      </c>
      <c r="H79" s="10">
        <f t="shared" si="6"/>
        <v>16184.92146</v>
      </c>
      <c r="I79" s="10">
        <f t="shared" si="6"/>
        <v>18662.850129999999</v>
      </c>
      <c r="J79" s="245"/>
    </row>
    <row r="80" spans="1:10" ht="15" customHeight="1" x14ac:dyDescent="0.35">
      <c r="A80" s="1"/>
      <c r="B80" s="255"/>
      <c r="C80" s="43" t="s">
        <v>20</v>
      </c>
      <c r="D80" s="44">
        <v>24216</v>
      </c>
      <c r="E80" s="44">
        <v>25316</v>
      </c>
      <c r="F80" s="22">
        <f>267.4014</f>
        <v>267.40140000000002</v>
      </c>
      <c r="G80" s="22">
        <f>9733.32594</f>
        <v>9733.3259400000006</v>
      </c>
      <c r="H80" s="22">
        <f>E80-G80</f>
        <v>15582.674059999999</v>
      </c>
      <c r="I80" s="22">
        <f>18078.44848</f>
        <v>18078.448479999999</v>
      </c>
      <c r="J80" s="245"/>
    </row>
    <row r="81" spans="1:10" ht="14.15" customHeight="1" x14ac:dyDescent="0.35">
      <c r="A81" s="1"/>
      <c r="B81" s="255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222.7526</f>
        <v>222.7526</v>
      </c>
      <c r="H81" s="48">
        <f>E81-G81</f>
        <v>602.24739999999997</v>
      </c>
      <c r="I81" s="48">
        <f>584.40165</f>
        <v>584.40165000000002</v>
      </c>
      <c r="J81" s="245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1065.7959499999997</v>
      </c>
      <c r="G82" s="10">
        <f t="shared" si="7"/>
        <v>13484.481040000001</v>
      </c>
      <c r="H82" s="10">
        <f t="shared" si="7"/>
        <v>30644.518960000005</v>
      </c>
      <c r="I82" s="10">
        <f t="shared" si="7"/>
        <v>16105.447560000001</v>
      </c>
      <c r="J82" s="245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864.82902999999988</v>
      </c>
      <c r="G83" s="129">
        <f t="shared" si="8"/>
        <v>10390.96011</v>
      </c>
      <c r="H83" s="129">
        <f t="shared" si="8"/>
        <v>22114.039890000004</v>
      </c>
      <c r="I83" s="129">
        <f t="shared" si="8"/>
        <v>11295.49906</v>
      </c>
      <c r="J83" s="245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70.86123</f>
        <v>70.861230000000006</v>
      </c>
      <c r="G84" s="123">
        <f>2075.54194</f>
        <v>2075.5419400000001</v>
      </c>
      <c r="H84" s="123">
        <f t="shared" ref="H84:H91" si="9">E84-G84</f>
        <v>6928.4580599999999</v>
      </c>
      <c r="I84" s="123">
        <f>2801.64519</f>
        <v>2801.6451900000002</v>
      </c>
      <c r="J84" s="245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158.35171</f>
        <v>158.35171</v>
      </c>
      <c r="G85" s="123">
        <f>2404.37671</f>
        <v>2404.37671</v>
      </c>
      <c r="H85" s="123">
        <f t="shared" si="9"/>
        <v>6670.6232899999995</v>
      </c>
      <c r="I85" s="123">
        <f>3868.31283</f>
        <v>3868.3128299999998</v>
      </c>
      <c r="J85" s="245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333.82463</f>
        <v>333.82463000000001</v>
      </c>
      <c r="G86" s="123">
        <f>3058.60174</f>
        <v>3058.6017400000001</v>
      </c>
      <c r="H86" s="123">
        <f t="shared" si="9"/>
        <v>5590.3982599999999</v>
      </c>
      <c r="I86" s="123">
        <f>3016.66793</f>
        <v>3016.6679300000001</v>
      </c>
      <c r="J86" s="245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301.79146</f>
        <v>301.79145999999997</v>
      </c>
      <c r="G87" s="123">
        <f>2852.43972</f>
        <v>2852.4397199999999</v>
      </c>
      <c r="H87" s="123">
        <f t="shared" si="9"/>
        <v>2924.5602800000001</v>
      </c>
      <c r="I87" s="123">
        <f>1608.87311</f>
        <v>1608.87311</v>
      </c>
      <c r="J87" s="245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154.52191</f>
        <v>154.52190999999999</v>
      </c>
      <c r="G88" s="129">
        <f>2279.00181</f>
        <v>2279.0018100000002</v>
      </c>
      <c r="H88" s="129">
        <f t="shared" si="9"/>
        <v>5837.9981900000002</v>
      </c>
      <c r="I88" s="129">
        <f>3532.97281</f>
        <v>3532.9728100000002</v>
      </c>
      <c r="J88" s="245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46.44501</f>
        <v>46.445010000000003</v>
      </c>
      <c r="G89" s="72">
        <f>814.51912</f>
        <v>814.51912000000004</v>
      </c>
      <c r="H89" s="72">
        <f t="shared" si="9"/>
        <v>2692.4808800000001</v>
      </c>
      <c r="I89" s="72">
        <f>1276.97569</f>
        <v>1276.97569</v>
      </c>
      <c r="J89" s="245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0.11494</f>
        <v>0.11494</v>
      </c>
      <c r="G90" s="95">
        <f>20.96084</f>
        <v>20.960840000000001</v>
      </c>
      <c r="H90" s="95">
        <f t="shared" si="9"/>
        <v>298.03915999999998</v>
      </c>
      <c r="I90" s="95">
        <f>26.97363</f>
        <v>26.97363</v>
      </c>
      <c r="J90" s="245"/>
    </row>
    <row r="91" spans="1:10" ht="18" customHeight="1" x14ac:dyDescent="0.35">
      <c r="A91" s="1"/>
      <c r="B91" s="255"/>
      <c r="C91" s="70" t="s">
        <v>54</v>
      </c>
      <c r="D91" s="140">
        <v>300</v>
      </c>
      <c r="E91" s="140">
        <v>300</v>
      </c>
      <c r="F91" s="136">
        <f>4.28591</f>
        <v>4.2859100000000003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35">
      <c r="A92" s="1"/>
      <c r="B92" s="255"/>
      <c r="C92" s="89" t="s">
        <v>38</v>
      </c>
      <c r="D92" s="140">
        <v>50</v>
      </c>
      <c r="E92" s="140">
        <v>50</v>
      </c>
      <c r="F92" s="95">
        <f>0.2178</f>
        <v>0.21779999999999999</v>
      </c>
      <c r="G92" s="95">
        <f>8.46981</f>
        <v>8.4698100000000007</v>
      </c>
      <c r="H92" s="136">
        <f>E92-G92</f>
        <v>41.530189999999997</v>
      </c>
      <c r="I92" s="95">
        <f>8.85194</f>
        <v>8.8519400000000008</v>
      </c>
      <c r="J92" s="245"/>
    </row>
    <row r="93" spans="1:10" ht="18" customHeight="1" x14ac:dyDescent="0.35">
      <c r="A93" s="1"/>
      <c r="B93" s="255"/>
      <c r="C93" s="89" t="s">
        <v>55</v>
      </c>
      <c r="D93" s="140"/>
      <c r="E93" s="136"/>
      <c r="F93" s="136">
        <f>3.5149</f>
        <v>3.5148999999999999</v>
      </c>
      <c r="G93" s="136">
        <f>4.85056</f>
        <v>4.8505599999999998</v>
      </c>
      <c r="H93" s="136">
        <f t="shared" ref="H93" si="10">E93-G93</f>
        <v>-4.8505599999999998</v>
      </c>
      <c r="I93" s="136">
        <f>13.28324</f>
        <v>13.283239999999999</v>
      </c>
      <c r="J93" s="245"/>
    </row>
    <row r="94" spans="1:10" ht="16.5" customHeight="1" x14ac:dyDescent="0.3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1341.3308999999995</v>
      </c>
      <c r="G94" s="73">
        <f t="shared" si="12"/>
        <v>23774.840789999998</v>
      </c>
      <c r="H94" s="73">
        <f t="shared" si="12"/>
        <v>47164.159210000005</v>
      </c>
      <c r="I94" s="73">
        <f t="shared" si="12"/>
        <v>35117.406499999997</v>
      </c>
      <c r="J94" s="245"/>
    </row>
    <row r="95" spans="1:10" ht="13.5" customHeight="1" x14ac:dyDescent="0.3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35">
      <c r="A96" s="1"/>
      <c r="B96" s="24"/>
      <c r="C96" s="156" t="s">
        <v>146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35">
      <c r="A97" s="1"/>
      <c r="B97" s="24"/>
      <c r="C97" s="156" t="s">
        <v>131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3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3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5" customHeight="1" x14ac:dyDescent="0.3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5" customHeight="1" x14ac:dyDescent="0.3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5" customHeight="1" x14ac:dyDescent="0.3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3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149</v>
      </c>
      <c r="G114" s="14" t="s">
        <v>150</v>
      </c>
      <c r="H114" s="14" t="s">
        <v>151</v>
      </c>
      <c r="I114" s="14" t="s">
        <v>152</v>
      </c>
      <c r="J114" s="279"/>
    </row>
    <row r="115" spans="1:10" ht="14.15" customHeight="1" x14ac:dyDescent="0.3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60.4024</v>
      </c>
      <c r="G115" s="10">
        <f t="shared" si="13"/>
        <v>22083.300439999999</v>
      </c>
      <c r="H115" s="10">
        <f t="shared" si="13"/>
        <v>50206.699560000001</v>
      </c>
      <c r="I115" s="10">
        <f t="shared" si="13"/>
        <v>26744.617310000001</v>
      </c>
      <c r="J115" s="245"/>
    </row>
    <row r="116" spans="1:10" ht="14.15" customHeight="1" x14ac:dyDescent="0.35">
      <c r="A116" s="1"/>
      <c r="B116" s="255"/>
      <c r="C116" s="43" t="s">
        <v>20</v>
      </c>
      <c r="D116" s="44">
        <v>51830</v>
      </c>
      <c r="E116" s="44">
        <v>57471</v>
      </c>
      <c r="F116" s="22">
        <f>58.2714</f>
        <v>58.2714</v>
      </c>
      <c r="G116" s="22">
        <f>20169.54529</f>
        <v>20169.545289999998</v>
      </c>
      <c r="H116" s="22">
        <f>E116-G116</f>
        <v>37301.454710000005</v>
      </c>
      <c r="I116" s="22">
        <f>23620.74763</f>
        <v>23620.747630000002</v>
      </c>
      <c r="J116" s="245"/>
    </row>
    <row r="117" spans="1:10" ht="15" customHeight="1" x14ac:dyDescent="0.35">
      <c r="A117" s="1"/>
      <c r="B117" s="255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1848.9627</f>
        <v>1848.9627</v>
      </c>
      <c r="H117" s="22">
        <f>E117-G117</f>
        <v>12470.0373</v>
      </c>
      <c r="I117" s="22">
        <f>3060.91453</f>
        <v>3060.91453</v>
      </c>
      <c r="J117" s="245"/>
    </row>
    <row r="118" spans="1:10" ht="13.5" customHeight="1" x14ac:dyDescent="0.35">
      <c r="A118" s="1"/>
      <c r="B118" s="255"/>
      <c r="C118" s="47" t="s">
        <v>63</v>
      </c>
      <c r="D118" s="32">
        <v>500</v>
      </c>
      <c r="E118" s="32">
        <v>500</v>
      </c>
      <c r="F118" s="22">
        <f>2.131</f>
        <v>2.1309999999999998</v>
      </c>
      <c r="G118" s="22">
        <f>64.79245</f>
        <v>64.792450000000002</v>
      </c>
      <c r="H118" s="53">
        <f>E118-G118</f>
        <v>435.20754999999997</v>
      </c>
      <c r="I118" s="22">
        <f>62.95515</f>
        <v>62.955150000000003</v>
      </c>
      <c r="J118" s="245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15.4438</f>
        <v>15.4438</v>
      </c>
      <c r="G119" s="92">
        <f>38.64065</f>
        <v>38.640650000000001</v>
      </c>
      <c r="H119" s="92">
        <f>E119-G119</f>
        <v>52266.359349999999</v>
      </c>
      <c r="I119" s="92">
        <f>16.308</f>
        <v>16.308</v>
      </c>
      <c r="J119" s="111"/>
    </row>
    <row r="120" spans="1:10" ht="15.75" customHeight="1" x14ac:dyDescent="0.3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1240.92724</v>
      </c>
      <c r="G120" s="91">
        <f t="shared" ref="G120" si="14">G121+G126+G129</f>
        <v>28951.648249999998</v>
      </c>
      <c r="H120" s="91">
        <f>H121+H126+H129</f>
        <v>43943.351750000002</v>
      </c>
      <c r="I120" s="91">
        <f>I121+I126+I129</f>
        <v>38170.098859999998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916.25910999999996</v>
      </c>
      <c r="G121" s="121">
        <f>G122+G123+G125+G124</f>
        <v>21874.602070000001</v>
      </c>
      <c r="H121" s="121">
        <f>H122+H123+H124+H125</f>
        <v>32859.397929999999</v>
      </c>
      <c r="I121" s="121">
        <f>I122+I123+I124+I125</f>
        <v>28924.662059999999</v>
      </c>
      <c r="J121" s="279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83.81426</f>
        <v>83.814260000000004</v>
      </c>
      <c r="G122" s="123">
        <f>4953.05726</f>
        <v>4953.0572599999996</v>
      </c>
      <c r="H122" s="123">
        <f>E122-G122</f>
        <v>11325.94274</v>
      </c>
      <c r="I122" s="123">
        <f>5209.91128</f>
        <v>5209.9112800000003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115.25721</f>
        <v>115.25721</v>
      </c>
      <c r="G123" s="123">
        <f>6978.24793</f>
        <v>6978.2479300000005</v>
      </c>
      <c r="H123" s="123">
        <f>E123-G123</f>
        <v>6958.7520699999995</v>
      </c>
      <c r="I123" s="123">
        <f>8960.7254</f>
        <v>8960.7253999999994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256.432</f>
        <v>256.43200000000002</v>
      </c>
      <c r="G124" s="123">
        <f>4808.42395</f>
        <v>4808.4239500000003</v>
      </c>
      <c r="H124" s="123">
        <f>E124-G124</f>
        <v>6867.5760499999997</v>
      </c>
      <c r="I124" s="123">
        <f>7430.40978</f>
        <v>7430.40978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460.75564</f>
        <v>460.75564000000003</v>
      </c>
      <c r="G125" s="123">
        <f>5134.87293</f>
        <v>5134.8729300000005</v>
      </c>
      <c r="H125" s="123">
        <f>E125-G125</f>
        <v>7707.1270699999995</v>
      </c>
      <c r="I125" s="123">
        <f>7323.6156</f>
        <v>7323.6156000000001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222.03182000000001</v>
      </c>
      <c r="G126" s="129">
        <f>SUM(G127:G128)</f>
        <v>4840.8079199999993</v>
      </c>
      <c r="H126" s="129">
        <f>H127+H128</f>
        <v>2190.1920800000003</v>
      </c>
      <c r="I126" s="129">
        <f>SUM(I127:I128)</f>
        <v>7063.9855699999998</v>
      </c>
      <c r="J126" s="130"/>
    </row>
    <row r="127" spans="1:10" ht="14.15" customHeight="1" x14ac:dyDescent="0.35">
      <c r="A127" s="1"/>
      <c r="B127" s="255"/>
      <c r="C127" s="60" t="s">
        <v>66</v>
      </c>
      <c r="D127" s="61">
        <v>6819</v>
      </c>
      <c r="E127" s="61">
        <v>6531</v>
      </c>
      <c r="F127" s="123">
        <f>222.03182</f>
        <v>222.03182000000001</v>
      </c>
      <c r="G127" s="123">
        <f>4745.40288</f>
        <v>4745.4028799999996</v>
      </c>
      <c r="H127" s="123">
        <f t="shared" ref="H127:H135" si="15">E127-G127</f>
        <v>1785.5971200000004</v>
      </c>
      <c r="I127" s="123">
        <f>6923.95943</f>
        <v>6923.9594299999999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</f>
        <v>0</v>
      </c>
      <c r="G128" s="123">
        <f>95.40504</f>
        <v>95.40504</v>
      </c>
      <c r="H128" s="123">
        <f t="shared" si="15"/>
        <v>404.59496000000001</v>
      </c>
      <c r="I128" s="123">
        <f>140.02614</f>
        <v>140.02614</v>
      </c>
      <c r="J128" s="131"/>
    </row>
    <row r="129" spans="1:10" ht="15.75" customHeight="1" x14ac:dyDescent="0.35">
      <c r="A129" s="1"/>
      <c r="B129" s="255"/>
      <c r="C129" s="37" t="s">
        <v>11</v>
      </c>
      <c r="D129" s="59">
        <v>9315</v>
      </c>
      <c r="E129" s="59">
        <v>11130</v>
      </c>
      <c r="F129" s="72">
        <f>102.63631</f>
        <v>102.63630999999999</v>
      </c>
      <c r="G129" s="72">
        <f>2236.23826</f>
        <v>2236.2382600000001</v>
      </c>
      <c r="H129" s="72">
        <f t="shared" si="15"/>
        <v>8893.7617399999999</v>
      </c>
      <c r="I129" s="72">
        <f>2181.45123</f>
        <v>2181.4512300000001</v>
      </c>
      <c r="J129" s="117"/>
    </row>
    <row r="130" spans="1:10" ht="15.75" customHeight="1" x14ac:dyDescent="0.35">
      <c r="A130" s="1"/>
      <c r="B130" s="255"/>
      <c r="C130" s="139" t="s">
        <v>34</v>
      </c>
      <c r="D130" s="140">
        <v>146</v>
      </c>
      <c r="E130" s="140">
        <v>146</v>
      </c>
      <c r="F130" s="136">
        <f>0.12015</f>
        <v>0.12015000000000001</v>
      </c>
      <c r="G130" s="136">
        <f>10.52933</f>
        <v>10.52933</v>
      </c>
      <c r="H130" s="136">
        <f t="shared" si="15"/>
        <v>135.47067000000001</v>
      </c>
      <c r="I130" s="136">
        <f>10.32228</f>
        <v>10.322279999999999</v>
      </c>
      <c r="J130" s="117"/>
    </row>
    <row r="131" spans="1:10" ht="15.75" customHeight="1" x14ac:dyDescent="0.3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35">
      <c r="A132" s="1"/>
      <c r="B132" s="255"/>
      <c r="C132" s="137" t="s">
        <v>69</v>
      </c>
      <c r="D132" s="140">
        <v>2000</v>
      </c>
      <c r="E132" s="140">
        <v>2000</v>
      </c>
      <c r="F132" s="136">
        <f>7.58763</f>
        <v>7.5876299999999999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3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55"/>
      <c r="C134" s="139" t="s">
        <v>70</v>
      </c>
      <c r="D134" s="140">
        <v>313</v>
      </c>
      <c r="E134" s="140">
        <v>313</v>
      </c>
      <c r="F134" s="95">
        <f>0.6315</f>
        <v>0.63149999999999995</v>
      </c>
      <c r="G134" s="95">
        <f>69.38288</f>
        <v>69.38288</v>
      </c>
      <c r="H134" s="136">
        <f t="shared" si="15"/>
        <v>243.61712</v>
      </c>
      <c r="I134" s="95">
        <f>20.84023</f>
        <v>20.840229999999998</v>
      </c>
      <c r="J134" s="117"/>
    </row>
    <row r="135" spans="1:10" ht="15" customHeight="1" x14ac:dyDescent="0.35">
      <c r="A135" s="1"/>
      <c r="B135" s="255"/>
      <c r="C135" s="139" t="s">
        <v>39</v>
      </c>
      <c r="D135" s="142"/>
      <c r="E135" s="140"/>
      <c r="F135" s="136">
        <f>0.00851</f>
        <v>8.5100000000000002E-3</v>
      </c>
      <c r="G135" s="136">
        <f>74.43046</f>
        <v>74.430459999999997</v>
      </c>
      <c r="H135" s="136">
        <f t="shared" si="15"/>
        <v>-74.430459999999997</v>
      </c>
      <c r="I135" s="136">
        <f>109.01069</f>
        <v>109.01069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1325.1212299999997</v>
      </c>
      <c r="G137" s="73">
        <f>G115+G119+G120+G130+G131+G132+G133+G134+G135</f>
        <v>53227.932009999997</v>
      </c>
      <c r="H137" s="73">
        <f>H115+H119+H120+H130+H131+H132+H133+H134+H135</f>
        <v>147071.06799000001</v>
      </c>
      <c r="I137" s="73">
        <f>I115+I119+I120+I130+I131+I132+I133+I134+I135</f>
        <v>67071.197370000009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35">
      <c r="A140" s="152"/>
      <c r="B140" s="50"/>
      <c r="C140" s="156" t="s">
        <v>153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35">
      <c r="A141" s="152"/>
      <c r="B141" s="50"/>
      <c r="C141" s="74" t="s">
        <v>147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35">
      <c r="A142" s="152"/>
      <c r="B142" s="50"/>
      <c r="C142" s="156" t="s">
        <v>132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35">
      <c r="A143" s="152"/>
      <c r="B143" s="50"/>
      <c r="C143" s="74" t="s">
        <v>138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5" customHeight="1" x14ac:dyDescent="0.3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5" customHeight="1" x14ac:dyDescent="0.3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5" customHeight="1" x14ac:dyDescent="0.3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5" customHeight="1" x14ac:dyDescent="0.3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5" customHeight="1" x14ac:dyDescent="0.3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3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3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149</v>
      </c>
      <c r="F159" s="14" t="s">
        <v>150</v>
      </c>
      <c r="G159" s="52" t="s">
        <v>151</v>
      </c>
      <c r="H159" s="14" t="s">
        <v>152</v>
      </c>
      <c r="I159" s="152"/>
      <c r="J159" s="279"/>
    </row>
    <row r="160" spans="1:10" ht="14.15" customHeight="1" x14ac:dyDescent="0.35">
      <c r="A160" s="1"/>
      <c r="B160" s="255"/>
      <c r="C160" s="138" t="s">
        <v>74</v>
      </c>
      <c r="D160" s="91">
        <v>3762</v>
      </c>
      <c r="E160" s="275">
        <f>0</f>
        <v>0</v>
      </c>
      <c r="F160" s="275">
        <f>311.63283</f>
        <v>311.63283000000001</v>
      </c>
      <c r="G160" s="42">
        <f>D160-F160-F161</f>
        <v>3188.7259199999999</v>
      </c>
      <c r="H160" s="275">
        <f>304.29985</f>
        <v>304.29984999999999</v>
      </c>
      <c r="I160" s="1"/>
      <c r="J160" s="117"/>
    </row>
    <row r="161" spans="1:10" ht="14.15" customHeight="1" x14ac:dyDescent="0.35">
      <c r="A161" s="1"/>
      <c r="B161" s="255"/>
      <c r="C161" s="133" t="s">
        <v>53</v>
      </c>
      <c r="D161" s="175"/>
      <c r="E161" s="148">
        <f>9.63414</f>
        <v>9.6341400000000004</v>
      </c>
      <c r="F161" s="148">
        <f>261.64125</f>
        <v>261.64125000000001</v>
      </c>
      <c r="G161" s="213"/>
      <c r="H161" s="148">
        <f>260.96231</f>
        <v>260.96231</v>
      </c>
      <c r="I161" s="1"/>
      <c r="J161" s="117"/>
    </row>
    <row r="162" spans="1:10" ht="15.65" customHeight="1" x14ac:dyDescent="0.35">
      <c r="A162" s="1"/>
      <c r="B162" s="255"/>
      <c r="C162" s="163" t="s">
        <v>75</v>
      </c>
      <c r="D162" s="95">
        <v>200</v>
      </c>
      <c r="E162" s="166">
        <f>0</f>
        <v>0</v>
      </c>
      <c r="F162" s="166">
        <f>26.85302</f>
        <v>26.853020000000001</v>
      </c>
      <c r="G162" s="166">
        <f>D162-F162</f>
        <v>173.14697999999999</v>
      </c>
      <c r="H162" s="166">
        <f>23.92866</f>
        <v>23.928660000000001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5.7180800000000005</v>
      </c>
      <c r="F163" s="175">
        <f>F164+F165+F166</f>
        <v>72.989919999999998</v>
      </c>
      <c r="G163" s="175">
        <f>D163-F163</f>
        <v>5569.01008</v>
      </c>
      <c r="H163" s="175">
        <f>H164+H165+H166</f>
        <v>37.121209999999998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2.55404</f>
        <v>2.5540400000000001</v>
      </c>
      <c r="F164" s="123">
        <f>26.99394</f>
        <v>26.993939999999998</v>
      </c>
      <c r="G164" s="123"/>
      <c r="H164" s="123">
        <f>18.00069</f>
        <v>18.000689999999999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2.13604</f>
        <v>2.1360399999999999</v>
      </c>
      <c r="F165" s="123">
        <f>26.98526</f>
        <v>26.98526</v>
      </c>
      <c r="G165" s="123"/>
      <c r="H165" s="123">
        <f>10.73472</f>
        <v>10.734719999999999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1.028</f>
        <v>1.028</v>
      </c>
      <c r="F166" s="186">
        <f>19.01072</f>
        <v>19.010719999999999</v>
      </c>
      <c r="G166" s="186"/>
      <c r="H166" s="186">
        <f>8.3858</f>
        <v>8.3857999999999997</v>
      </c>
      <c r="I166" s="181"/>
      <c r="J166" s="182"/>
    </row>
    <row r="167" spans="1:10" ht="14.15" customHeight="1" x14ac:dyDescent="0.3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3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15.352220000000001</v>
      </c>
      <c r="F169" s="188">
        <f>F160+F161+F162+F163+F167+F168</f>
        <v>673.11702000000002</v>
      </c>
      <c r="G169" s="188">
        <f>D169-F169</f>
        <v>9001.8829800000003</v>
      </c>
      <c r="H169" s="188">
        <f>H160+H161+H162+H163+H167+H168</f>
        <v>626.31203000000005</v>
      </c>
      <c r="I169" s="159"/>
      <c r="J169" s="155"/>
    </row>
    <row r="170" spans="1:10" ht="42" customHeight="1" x14ac:dyDescent="0.35">
      <c r="A170" s="1"/>
      <c r="B170" s="193"/>
      <c r="C170" s="228" t="s">
        <v>133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3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55"/>
      <c r="C182" s="101" t="s">
        <v>134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55"/>
      <c r="C183" s="101" t="s">
        <v>135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55"/>
      <c r="C184" s="101" t="s">
        <v>136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3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55"/>
      <c r="C188" s="68" t="s">
        <v>16</v>
      </c>
      <c r="D188" s="210" t="s">
        <v>2</v>
      </c>
      <c r="E188" s="14" t="s">
        <v>141</v>
      </c>
      <c r="F188" s="68" t="s">
        <v>149</v>
      </c>
      <c r="G188" s="68" t="s">
        <v>150</v>
      </c>
      <c r="H188" s="68" t="s">
        <v>151</v>
      </c>
      <c r="I188" s="68" t="s">
        <v>152</v>
      </c>
      <c r="J188" s="117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0.83</f>
        <v>0.83</v>
      </c>
      <c r="G189" s="124">
        <f>16703.41199</f>
        <v>16703.411990000001</v>
      </c>
      <c r="H189" s="124">
        <f>D189-G189</f>
        <v>27438.588009999999</v>
      </c>
      <c r="I189" s="124">
        <f>12986.02655</f>
        <v>12986.02655</v>
      </c>
      <c r="J189" s="117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0.012</f>
        <v>1.2E-2</v>
      </c>
      <c r="G190" s="124">
        <f>4.07594</f>
        <v>4.0759400000000001</v>
      </c>
      <c r="H190" s="124">
        <f>D190-G190</f>
        <v>95.924059999999997</v>
      </c>
      <c r="I190" s="124">
        <f>1.54105</f>
        <v>1.54105</v>
      </c>
      <c r="J190" s="117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0.84199999999999997</v>
      </c>
      <c r="G192" s="190">
        <f>SUM(G189:G191)</f>
        <v>16707.487929999999</v>
      </c>
      <c r="H192" s="190">
        <f>D192-G192</f>
        <v>27570.512070000001</v>
      </c>
      <c r="I192" s="190">
        <f>SUM(I189:I191)</f>
        <v>12987.5676</v>
      </c>
      <c r="J192" s="117"/>
    </row>
    <row r="193" spans="1:10" ht="12" customHeight="1" x14ac:dyDescent="0.3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142</v>
      </c>
      <c r="D194" s="104"/>
      <c r="E194" s="104"/>
      <c r="F194" s="207"/>
      <c r="G194" s="207"/>
      <c r="H194" s="207"/>
      <c r="I194" s="207"/>
      <c r="J194" s="212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3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149</v>
      </c>
      <c r="F201" s="68" t="s">
        <v>150</v>
      </c>
      <c r="G201" s="68" t="s">
        <v>151</v>
      </c>
      <c r="H201" s="68" t="s">
        <v>152</v>
      </c>
      <c r="I201" s="1"/>
      <c r="J201" s="117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2">
        <f>E203+E204</f>
        <v>58.959530000000001</v>
      </c>
      <c r="F202" s="72">
        <f>F203+F204</f>
        <v>1093.76584</v>
      </c>
      <c r="G202" s="72">
        <f>D202-F202</f>
        <v>2893.23416</v>
      </c>
      <c r="H202" s="72">
        <f>H203+H204</f>
        <v>1488.65663</v>
      </c>
      <c r="I202" s="249"/>
      <c r="J202" s="117"/>
    </row>
    <row r="203" spans="1:10" ht="15" customHeight="1" x14ac:dyDescent="0.35">
      <c r="A203" s="1"/>
      <c r="B203" s="255"/>
      <c r="C203" s="172" t="s">
        <v>8</v>
      </c>
      <c r="D203" s="124"/>
      <c r="E203" s="72">
        <f>31.65371</f>
        <v>31.65371</v>
      </c>
      <c r="F203" s="72">
        <f>716.20824</f>
        <v>716.20824000000005</v>
      </c>
      <c r="G203" s="72"/>
      <c r="H203" s="72">
        <f>1158.10403</f>
        <v>1158.10403</v>
      </c>
      <c r="I203" s="249"/>
      <c r="J203" s="117"/>
    </row>
    <row r="204" spans="1:10" ht="15" customHeight="1" x14ac:dyDescent="0.35">
      <c r="A204" s="1"/>
      <c r="B204" s="255"/>
      <c r="C204" s="172" t="s">
        <v>67</v>
      </c>
      <c r="D204" s="124"/>
      <c r="E204" s="124">
        <f>27.30582</f>
        <v>27.305820000000001</v>
      </c>
      <c r="F204" s="124">
        <f>377.5576</f>
        <v>377.55759999999998</v>
      </c>
      <c r="G204" s="168"/>
      <c r="H204" s="124">
        <f>330.5526</f>
        <v>330.55259999999998</v>
      </c>
      <c r="I204" s="249"/>
      <c r="J204" s="117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2">
        <f>148.90896</f>
        <v>148.90896000000001</v>
      </c>
      <c r="F205" s="72">
        <f>1153.78381</f>
        <v>1153.7838099999999</v>
      </c>
      <c r="G205" s="72">
        <f>D205-F205</f>
        <v>3459.2161900000001</v>
      </c>
      <c r="H205" s="72">
        <f>1647.05413</f>
        <v>1647.05413</v>
      </c>
      <c r="I205" s="249"/>
      <c r="J205" s="117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207.86849000000001</v>
      </c>
      <c r="F206" s="190">
        <f>SUM(F202,F205)</f>
        <v>2247.5496499999999</v>
      </c>
      <c r="G206" s="190">
        <f>D206-F206</f>
        <v>6352.4503500000001</v>
      </c>
      <c r="H206" s="190">
        <f>SUM(H202,H205)</f>
        <v>3135.7107599999999</v>
      </c>
      <c r="I206" s="249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3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149</v>
      </c>
      <c r="F214" s="68" t="s">
        <v>150</v>
      </c>
      <c r="G214" s="68" t="s">
        <v>151</v>
      </c>
      <c r="H214" s="68" t="s">
        <v>152</v>
      </c>
      <c r="I214" s="1"/>
      <c r="J214" s="117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2">
        <f>E216+E217</f>
        <v>25.160299999999999</v>
      </c>
      <c r="F215" s="72">
        <f>F216+F217</f>
        <v>1140.7447299999999</v>
      </c>
      <c r="G215" s="72">
        <f>D215-F215</f>
        <v>3949.2552700000001</v>
      </c>
      <c r="H215" s="72">
        <f>H216+H217</f>
        <v>1196.76413</v>
      </c>
      <c r="I215" s="249"/>
      <c r="J215" s="117"/>
    </row>
    <row r="216" spans="1:10" ht="15" customHeight="1" x14ac:dyDescent="0.35">
      <c r="A216" s="1"/>
      <c r="B216" s="255"/>
      <c r="C216" s="172" t="s">
        <v>8</v>
      </c>
      <c r="D216" s="124"/>
      <c r="E216" s="72">
        <f>21.24218</f>
        <v>21.242180000000001</v>
      </c>
      <c r="F216" s="72">
        <f>943.2668</f>
        <v>943.26679999999999</v>
      </c>
      <c r="G216" s="72"/>
      <c r="H216" s="72">
        <f>948.80247</f>
        <v>948.80246999999997</v>
      </c>
      <c r="I216" s="249"/>
      <c r="J216" s="117"/>
    </row>
    <row r="217" spans="1:10" ht="15" customHeight="1" x14ac:dyDescent="0.35">
      <c r="A217" s="1"/>
      <c r="B217" s="255"/>
      <c r="C217" s="172" t="s">
        <v>67</v>
      </c>
      <c r="D217" s="124"/>
      <c r="E217" s="124">
        <f>3.91812</f>
        <v>3.91812</v>
      </c>
      <c r="F217" s="124">
        <f>197.47793</f>
        <v>197.47792999999999</v>
      </c>
      <c r="G217" s="168"/>
      <c r="H217" s="124">
        <f>247.96166</f>
        <v>247.96165999999999</v>
      </c>
      <c r="I217" s="249"/>
      <c r="J217" s="117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2">
        <f>57.12054</f>
        <v>57.120539999999998</v>
      </c>
      <c r="F218" s="72">
        <f>884.36599</f>
        <v>884.36599000000001</v>
      </c>
      <c r="G218" s="72">
        <f>D218-F218</f>
        <v>2096.6340099999998</v>
      </c>
      <c r="H218" s="72">
        <f>1079.9555</f>
        <v>1079.9555</v>
      </c>
      <c r="I218" s="249"/>
      <c r="J218" s="117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82.280839999999998</v>
      </c>
      <c r="F219" s="190">
        <f>SUM(F215,F218)</f>
        <v>2025.1107199999999</v>
      </c>
      <c r="G219" s="190">
        <f>D219-F219</f>
        <v>6045.8892800000003</v>
      </c>
      <c r="H219" s="190">
        <f>SUM(H215,H218)</f>
        <v>2276.7196300000001</v>
      </c>
      <c r="I219" s="249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5" customHeight="1" x14ac:dyDescent="0.3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149</v>
      </c>
      <c r="F236" s="68" t="s">
        <v>150</v>
      </c>
      <c r="G236" s="68" t="s">
        <v>151</v>
      </c>
      <c r="H236" s="68" t="s">
        <v>152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4.93358</f>
        <v>4.9335800000000001</v>
      </c>
      <c r="F237" s="124">
        <f>96.64232</f>
        <v>96.642319999999998</v>
      </c>
      <c r="G237" s="124">
        <f>D237-F237</f>
        <v>703.35767999999996</v>
      </c>
      <c r="H237" s="124">
        <f>142.01586</f>
        <v>142.01586</v>
      </c>
      <c r="I237" s="65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11.93572</f>
        <v>11.93572</v>
      </c>
      <c r="F238" s="124">
        <f>208.09577</f>
        <v>208.09576999999999</v>
      </c>
      <c r="G238" s="124">
        <f>D238-F238</f>
        <v>1984.9042300000001</v>
      </c>
      <c r="H238" s="124">
        <f>343.11004</f>
        <v>343.11004000000003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35">
      <c r="A240" s="65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3"/>
      <c r="J240" s="117"/>
    </row>
    <row r="241" spans="1:10" ht="14.15" customHeight="1" x14ac:dyDescent="0.35">
      <c r="A241" s="1"/>
      <c r="B241" s="255"/>
      <c r="C241" s="179" t="s">
        <v>86</v>
      </c>
      <c r="D241" s="5">
        <f>D226</f>
        <v>3003</v>
      </c>
      <c r="E241" s="190">
        <f>SUM(E237:E240)</f>
        <v>16.869299999999999</v>
      </c>
      <c r="F241" s="190">
        <f>SUM(F237:F240)</f>
        <v>304.81022999999999</v>
      </c>
      <c r="G241" s="190">
        <f>D241-F241</f>
        <v>2698.18977</v>
      </c>
      <c r="H241" s="190">
        <f>H237+H238+H239+H240</f>
        <v>485.78296</v>
      </c>
      <c r="I241" s="1"/>
      <c r="J241" s="117"/>
    </row>
    <row r="242" spans="1:10" ht="14.15" customHeight="1" x14ac:dyDescent="0.3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69"/>
      <c r="C261" s="224" t="s">
        <v>16</v>
      </c>
      <c r="D261" s="233" t="s">
        <v>17</v>
      </c>
      <c r="E261" s="68" t="s">
        <v>137</v>
      </c>
      <c r="F261" s="224" t="s">
        <v>149</v>
      </c>
      <c r="G261" s="224" t="s">
        <v>150</v>
      </c>
      <c r="H261" s="224" t="s">
        <v>151</v>
      </c>
      <c r="I261" s="224" t="s">
        <v>152</v>
      </c>
      <c r="J261" s="127"/>
    </row>
    <row r="262" spans="1:10" ht="14.15" customHeight="1" x14ac:dyDescent="0.3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82.738399999999999</v>
      </c>
      <c r="G262" s="254">
        <f t="shared" si="17"/>
        <v>1369.1739400000001</v>
      </c>
      <c r="H262" s="254">
        <f>H266+H265+H264+H263</f>
        <v>26366.826059999999</v>
      </c>
      <c r="I262" s="254">
        <f t="shared" si="17"/>
        <v>4147.6322</v>
      </c>
      <c r="J262" s="127"/>
    </row>
    <row r="263" spans="1:10" ht="14.15" customHeight="1" x14ac:dyDescent="0.35">
      <c r="A263" s="215"/>
      <c r="B263" s="69"/>
      <c r="C263" s="256" t="s">
        <v>102</v>
      </c>
      <c r="D263" s="257">
        <v>14132</v>
      </c>
      <c r="E263" s="257">
        <v>16670</v>
      </c>
      <c r="F263" s="258">
        <f>0</f>
        <v>0</v>
      </c>
      <c r="G263" s="258">
        <f>545.74539</f>
        <v>545.74539000000004</v>
      </c>
      <c r="H263" s="258">
        <f t="shared" ref="H263:H267" si="18">E263-G263</f>
        <v>16124.25461</v>
      </c>
      <c r="I263" s="258">
        <f>3242.01051</f>
        <v>3242.0105100000001</v>
      </c>
      <c r="J263" s="127"/>
    </row>
    <row r="264" spans="1:10" ht="14.15" customHeight="1" x14ac:dyDescent="0.35">
      <c r="A264" s="215"/>
      <c r="B264" s="69"/>
      <c r="C264" s="260" t="s">
        <v>21</v>
      </c>
      <c r="D264" s="257">
        <v>3678</v>
      </c>
      <c r="E264" s="257">
        <v>4339</v>
      </c>
      <c r="F264" s="258">
        <f>0</f>
        <v>0</v>
      </c>
      <c r="G264" s="258">
        <f>121.905</f>
        <v>121.905</v>
      </c>
      <c r="H264" s="258">
        <f t="shared" si="18"/>
        <v>4217.0950000000003</v>
      </c>
      <c r="I264" s="258">
        <f>253.9944</f>
        <v>253.99440000000001</v>
      </c>
      <c r="J264" s="127"/>
    </row>
    <row r="265" spans="1:10" ht="14.15" customHeight="1" x14ac:dyDescent="0.35">
      <c r="A265" s="215"/>
      <c r="B265" s="69"/>
      <c r="C265" s="260" t="s">
        <v>99</v>
      </c>
      <c r="D265" s="257">
        <v>1506</v>
      </c>
      <c r="E265" s="257">
        <v>1571</v>
      </c>
      <c r="F265" s="258">
        <f>31.2486</f>
        <v>31.2486</v>
      </c>
      <c r="G265" s="258">
        <f>372.06836</f>
        <v>372.06835999999998</v>
      </c>
      <c r="H265" s="258">
        <f t="shared" si="18"/>
        <v>1198.93164</v>
      </c>
      <c r="I265" s="258">
        <f>622.73029</f>
        <v>622.73028999999997</v>
      </c>
      <c r="J265" s="127"/>
    </row>
    <row r="266" spans="1:10" ht="14.15" customHeight="1" x14ac:dyDescent="0.35">
      <c r="A266" s="215"/>
      <c r="B266" s="69"/>
      <c r="C266" s="262" t="s">
        <v>122</v>
      </c>
      <c r="D266" s="263">
        <v>5043</v>
      </c>
      <c r="E266" s="263">
        <v>5156</v>
      </c>
      <c r="F266" s="258">
        <f>51.4898</f>
        <v>51.489800000000002</v>
      </c>
      <c r="G266" s="258">
        <f>329.45519</f>
        <v>329.45519000000002</v>
      </c>
      <c r="H266" s="258">
        <f t="shared" si="18"/>
        <v>4826.5448100000003</v>
      </c>
      <c r="I266" s="258">
        <f>28.897</f>
        <v>28.896999999999998</v>
      </c>
      <c r="J266" s="127"/>
    </row>
    <row r="267" spans="1:10" ht="14.15" customHeight="1" x14ac:dyDescent="0.35">
      <c r="A267" s="215"/>
      <c r="B267" s="69"/>
      <c r="C267" s="265" t="s">
        <v>59</v>
      </c>
      <c r="D267" s="266">
        <v>5500</v>
      </c>
      <c r="E267" s="266">
        <v>5500</v>
      </c>
      <c r="F267" s="268">
        <f>10.77992</f>
        <v>10.779920000000001</v>
      </c>
      <c r="G267" s="268">
        <f>30.65992</f>
        <v>30.65992</v>
      </c>
      <c r="H267" s="268">
        <f t="shared" si="18"/>
        <v>5469.3400799999999</v>
      </c>
      <c r="I267" s="268">
        <f>0.971</f>
        <v>0.97099999999999997</v>
      </c>
      <c r="J267" s="127"/>
    </row>
    <row r="268" spans="1:10" ht="14.15" customHeight="1" x14ac:dyDescent="0.3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21.280429999999999</v>
      </c>
      <c r="G268" s="269">
        <f>G270+G269</f>
        <v>1028.6533999999999</v>
      </c>
      <c r="H268" s="269">
        <f>E268-G268</f>
        <v>6971.3465999999999</v>
      </c>
      <c r="I268" s="269">
        <f>I270+I269</f>
        <v>1176.68715</v>
      </c>
      <c r="J268" s="127"/>
    </row>
    <row r="269" spans="1:10" ht="14.15" customHeight="1" x14ac:dyDescent="0.3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446.46788</f>
        <v>446.46787999999998</v>
      </c>
      <c r="H269" s="258"/>
      <c r="I269" s="258">
        <f>517.07376</f>
        <v>517.07375999999999</v>
      </c>
      <c r="J269" s="127"/>
    </row>
    <row r="270" spans="1:10" ht="14.15" customHeight="1" x14ac:dyDescent="0.35">
      <c r="A270" s="215"/>
      <c r="B270" s="69"/>
      <c r="C270" s="273" t="s">
        <v>103</v>
      </c>
      <c r="D270" s="274"/>
      <c r="E270" s="276"/>
      <c r="F270" s="277">
        <f>21.28043</f>
        <v>21.280429999999999</v>
      </c>
      <c r="G270" s="277">
        <f>582.18552</f>
        <v>582.18552</v>
      </c>
      <c r="H270" s="277"/>
      <c r="I270" s="277">
        <f>659.61339</f>
        <v>659.61338999999998</v>
      </c>
      <c r="J270" s="127"/>
    </row>
    <row r="271" spans="1:10" ht="14.15" customHeight="1" x14ac:dyDescent="0.3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5" customHeight="1" x14ac:dyDescent="0.35">
      <c r="A272" s="215"/>
      <c r="B272" s="69"/>
      <c r="C272" s="278" t="s">
        <v>104</v>
      </c>
      <c r="D272" s="281"/>
      <c r="E272" s="282"/>
      <c r="F272" s="268">
        <f>0.04837</f>
        <v>4.8370000000000003E-2</v>
      </c>
      <c r="G272" s="268">
        <f>3.90442</f>
        <v>3.90442</v>
      </c>
      <c r="H272" s="268">
        <f>E272-G272</f>
        <v>-3.90442</v>
      </c>
      <c r="I272" s="268">
        <f>3.9836</f>
        <v>3.9836</v>
      </c>
      <c r="J272" s="127"/>
    </row>
    <row r="273" spans="1:10" ht="19.5" customHeight="1" x14ac:dyDescent="0.3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114.84712</v>
      </c>
      <c r="G273" s="286">
        <f t="shared" si="19"/>
        <v>2432.4051799999997</v>
      </c>
      <c r="H273" s="286">
        <f>H262+H267+H268+H271+H272</f>
        <v>38816.594819999998</v>
      </c>
      <c r="I273" s="286">
        <f t="shared" si="19"/>
        <v>5329.3003499999986</v>
      </c>
      <c r="J273" s="127"/>
    </row>
    <row r="274" spans="1:10" ht="14.15" customHeight="1" x14ac:dyDescent="0.3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5" customHeight="1" x14ac:dyDescent="0.3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5" customHeight="1" x14ac:dyDescent="0.35">
      <c r="A276" s="215"/>
      <c r="B276" s="69"/>
      <c r="C276" s="156" t="s">
        <v>139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3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15"/>
      <c r="C279" s="145" t="s">
        <v>112</v>
      </c>
      <c r="D279" s="152"/>
    </row>
    <row r="280" spans="1:10" ht="14.15" customHeight="1" x14ac:dyDescent="0.3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5" customHeight="1" x14ac:dyDescent="0.3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15"/>
      <c r="B288" s="69"/>
      <c r="C288" s="300" t="s">
        <v>120</v>
      </c>
      <c r="D288" s="300"/>
      <c r="E288" s="300"/>
      <c r="F288" s="300"/>
      <c r="G288" s="208"/>
      <c r="H288" s="208"/>
      <c r="I288" s="145"/>
      <c r="J288" s="127"/>
    </row>
    <row r="289" spans="1:10" ht="14.15" customHeight="1" x14ac:dyDescent="0.3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5"/>
      <c r="B293" s="193"/>
      <c r="C293" s="19" t="s">
        <v>107</v>
      </c>
      <c r="D293" s="21" t="s">
        <v>108</v>
      </c>
      <c r="E293" s="19" t="s">
        <v>149</v>
      </c>
      <c r="F293" s="19" t="s">
        <v>150</v>
      </c>
      <c r="G293" s="23" t="s">
        <v>151</v>
      </c>
      <c r="H293" s="19" t="s">
        <v>152</v>
      </c>
      <c r="I293" s="225"/>
      <c r="J293" s="13"/>
    </row>
    <row r="294" spans="1:10" ht="14.15" customHeight="1" x14ac:dyDescent="0.3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989.12424999999996</v>
      </c>
      <c r="G297" s="82">
        <f>D297-F297</f>
        <v>-95.124249999999961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15"/>
      <c r="B298" s="69"/>
      <c r="C298" s="28" t="s">
        <v>8</v>
      </c>
      <c r="D298" s="41"/>
      <c r="E298" s="29">
        <f>0</f>
        <v>0</v>
      </c>
      <c r="F298" s="29">
        <f>767.02923</f>
        <v>767.02922999999998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15"/>
      <c r="B299" s="69"/>
      <c r="C299" s="28" t="s">
        <v>11</v>
      </c>
      <c r="D299" s="222"/>
      <c r="E299" s="29">
        <f>0</f>
        <v>0</v>
      </c>
      <c r="F299" s="29">
        <f>222.09502</f>
        <v>222.09502000000001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15"/>
      <c r="B300" s="69"/>
      <c r="C300" s="265" t="s">
        <v>111</v>
      </c>
      <c r="D300" s="9">
        <v>893</v>
      </c>
      <c r="E300" s="34">
        <f>SUM(E301:E302)</f>
        <v>50.948180000000008</v>
      </c>
      <c r="F300" s="34">
        <f>SUM(F301:F302)</f>
        <v>231.11454000000001</v>
      </c>
      <c r="G300" s="82">
        <f>D300-F300</f>
        <v>661.88545999999997</v>
      </c>
      <c r="H300" s="34">
        <f>SUM(H301:H302)</f>
        <v>289.16336999999999</v>
      </c>
      <c r="I300" s="145"/>
      <c r="J300" s="127"/>
    </row>
    <row r="301" spans="1:10" ht="14.15" customHeight="1" x14ac:dyDescent="0.35">
      <c r="A301" s="215"/>
      <c r="B301" s="69"/>
      <c r="C301" s="28" t="s">
        <v>8</v>
      </c>
      <c r="D301" s="41"/>
      <c r="E301" s="29">
        <f>37.2165</f>
        <v>37.216500000000003</v>
      </c>
      <c r="F301" s="29">
        <f>162.7526</f>
        <v>162.7526</v>
      </c>
      <c r="G301" s="94"/>
      <c r="H301" s="29">
        <f>195.52764</f>
        <v>195.52763999999999</v>
      </c>
      <c r="I301" s="145"/>
      <c r="J301" s="127"/>
    </row>
    <row r="302" spans="1:10" ht="14.15" customHeight="1" x14ac:dyDescent="0.35">
      <c r="A302" s="215"/>
      <c r="B302" s="69"/>
      <c r="C302" s="28" t="s">
        <v>11</v>
      </c>
      <c r="D302" s="222"/>
      <c r="E302" s="29">
        <f>13.73168</f>
        <v>13.731680000000001</v>
      </c>
      <c r="F302" s="29">
        <f>68.36194</f>
        <v>68.361940000000004</v>
      </c>
      <c r="G302" s="105"/>
      <c r="H302" s="29">
        <f>93.63573</f>
        <v>93.635729999999995</v>
      </c>
      <c r="I302" s="145"/>
      <c r="J302" s="127"/>
    </row>
    <row r="303" spans="1:10" ht="14.15" customHeight="1" x14ac:dyDescent="0.3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50.948180000000008</v>
      </c>
      <c r="F304" s="39">
        <f>F294+F297+F300+F303</f>
        <v>2243.4446699999999</v>
      </c>
      <c r="G304" s="40">
        <f>D304-F304</f>
        <v>437.55533000000014</v>
      </c>
      <c r="H304" s="39">
        <f>H294+H297+H300+H303</f>
        <v>2499.6075799999999</v>
      </c>
      <c r="I304" s="26"/>
      <c r="J304" s="127"/>
    </row>
    <row r="305" spans="1:10" ht="42" customHeight="1" x14ac:dyDescent="0.35">
      <c r="A305" s="215"/>
      <c r="B305" s="69"/>
      <c r="C305" s="291" t="s">
        <v>115</v>
      </c>
      <c r="D305" s="291"/>
      <c r="E305" s="291"/>
      <c r="F305" s="291"/>
      <c r="G305" s="291"/>
      <c r="H305" s="291"/>
      <c r="I305" s="291"/>
      <c r="J305" s="292"/>
    </row>
    <row r="306" spans="1:10" ht="14.15" customHeight="1" x14ac:dyDescent="0.3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" customHeight="1" x14ac:dyDescent="0.35"/>
    <row r="65491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13&amp;R31.03.2025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2025-03-31T07:55:39Z</dcterms:modified>
</cp:coreProperties>
</file>