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FBB0852F-5DE3-42FB-9596-A392F6865F9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H422" i="1"/>
  <c r="G422" i="1"/>
  <c r="F422" i="1"/>
  <c r="E422" i="1"/>
  <c r="H421" i="1"/>
  <c r="H419" i="1" s="1"/>
  <c r="F421" i="1"/>
  <c r="E421" i="1"/>
  <c r="H420" i="1"/>
  <c r="F420" i="1"/>
  <c r="E420" i="1"/>
  <c r="E419" i="1" s="1"/>
  <c r="F419" i="1"/>
  <c r="G419" i="1" s="1"/>
  <c r="H418" i="1"/>
  <c r="F418" i="1"/>
  <c r="E418" i="1"/>
  <c r="H417" i="1"/>
  <c r="H416" i="1" s="1"/>
  <c r="F417" i="1"/>
  <c r="E417" i="1"/>
  <c r="F416" i="1"/>
  <c r="G416" i="1" s="1"/>
  <c r="E416" i="1"/>
  <c r="H415" i="1"/>
  <c r="F415" i="1"/>
  <c r="E415" i="1"/>
  <c r="E413" i="1" s="1"/>
  <c r="E423" i="1" s="1"/>
  <c r="H414" i="1"/>
  <c r="F414" i="1"/>
  <c r="F413" i="1" s="1"/>
  <c r="E414" i="1"/>
  <c r="H413" i="1"/>
  <c r="H423" i="1" s="1"/>
  <c r="D391" i="1"/>
  <c r="I390" i="1"/>
  <c r="G390" i="1"/>
  <c r="H390" i="1" s="1"/>
  <c r="F390" i="1"/>
  <c r="I389" i="1"/>
  <c r="H389" i="1"/>
  <c r="G389" i="1"/>
  <c r="F389" i="1"/>
  <c r="I388" i="1"/>
  <c r="G388" i="1"/>
  <c r="F388" i="1"/>
  <c r="F386" i="1" s="1"/>
  <c r="I387" i="1"/>
  <c r="I386" i="1" s="1"/>
  <c r="G387" i="1"/>
  <c r="F387" i="1"/>
  <c r="H386" i="1"/>
  <c r="G386" i="1"/>
  <c r="I385" i="1"/>
  <c r="H385" i="1"/>
  <c r="G385" i="1"/>
  <c r="F385" i="1"/>
  <c r="I384" i="1"/>
  <c r="H384" i="1"/>
  <c r="G384" i="1"/>
  <c r="F384" i="1"/>
  <c r="I383" i="1"/>
  <c r="I380" i="1" s="1"/>
  <c r="H383" i="1"/>
  <c r="G383" i="1"/>
  <c r="F383" i="1"/>
  <c r="F380" i="1" s="1"/>
  <c r="F391" i="1" s="1"/>
  <c r="I382" i="1"/>
  <c r="H382" i="1"/>
  <c r="G382" i="1"/>
  <c r="F382" i="1"/>
  <c r="I381" i="1"/>
  <c r="H381" i="1"/>
  <c r="G381" i="1"/>
  <c r="F381" i="1"/>
  <c r="H380" i="1"/>
  <c r="G380" i="1"/>
  <c r="D380" i="1"/>
  <c r="H372" i="1"/>
  <c r="F372" i="1"/>
  <c r="F354" i="1"/>
  <c r="G354" i="1" s="1"/>
  <c r="D354" i="1"/>
  <c r="H353" i="1"/>
  <c r="G353" i="1"/>
  <c r="F353" i="1"/>
  <c r="E353" i="1"/>
  <c r="H352" i="1"/>
  <c r="G352" i="1"/>
  <c r="F352" i="1"/>
  <c r="E352" i="1"/>
  <c r="H351" i="1"/>
  <c r="H354" i="1" s="1"/>
  <c r="G351" i="1"/>
  <c r="F351" i="1"/>
  <c r="E351" i="1"/>
  <c r="E354" i="1" s="1"/>
  <c r="H350" i="1"/>
  <c r="G350" i="1"/>
  <c r="F350" i="1"/>
  <c r="E350" i="1"/>
  <c r="D343" i="1"/>
  <c r="D299" i="1"/>
  <c r="H298" i="1"/>
  <c r="F298" i="1"/>
  <c r="G298" i="1" s="1"/>
  <c r="E298" i="1"/>
  <c r="H297" i="1"/>
  <c r="F297" i="1"/>
  <c r="E297" i="1"/>
  <c r="H296" i="1"/>
  <c r="H295" i="1" s="1"/>
  <c r="H299" i="1" s="1"/>
  <c r="F296" i="1"/>
  <c r="F295" i="1" s="1"/>
  <c r="E296" i="1"/>
  <c r="E295" i="1"/>
  <c r="E299" i="1" s="1"/>
  <c r="D253" i="1"/>
  <c r="H252" i="1"/>
  <c r="F252" i="1"/>
  <c r="G252" i="1" s="1"/>
  <c r="E252" i="1"/>
  <c r="H251" i="1"/>
  <c r="H249" i="1" s="1"/>
  <c r="H253" i="1" s="1"/>
  <c r="F251" i="1"/>
  <c r="E251" i="1"/>
  <c r="H250" i="1"/>
  <c r="F250" i="1"/>
  <c r="F249" i="1" s="1"/>
  <c r="E250" i="1"/>
  <c r="E249" i="1"/>
  <c r="E253" i="1" s="1"/>
  <c r="F207" i="1"/>
  <c r="D207" i="1"/>
  <c r="G207" i="1" s="1"/>
  <c r="H206" i="1"/>
  <c r="G206" i="1"/>
  <c r="F206" i="1"/>
  <c r="E206" i="1"/>
  <c r="H205" i="1"/>
  <c r="G205" i="1"/>
  <c r="F205" i="1"/>
  <c r="E205" i="1"/>
  <c r="H204" i="1"/>
  <c r="H207" i="1" s="1"/>
  <c r="G204" i="1"/>
  <c r="F204" i="1"/>
  <c r="E204" i="1"/>
  <c r="E207" i="1" s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/>
  <c r="H177" i="1"/>
  <c r="G177" i="1"/>
  <c r="F177" i="1"/>
  <c r="E177" i="1"/>
  <c r="E184" i="1" s="1"/>
  <c r="H176" i="1"/>
  <c r="F176" i="1"/>
  <c r="E176" i="1"/>
  <c r="H175" i="1"/>
  <c r="F175" i="1"/>
  <c r="E175" i="1"/>
  <c r="D169" i="1"/>
  <c r="D167" i="1"/>
  <c r="I148" i="1"/>
  <c r="H148" i="1"/>
  <c r="G148" i="1"/>
  <c r="F148" i="1"/>
  <c r="I147" i="1"/>
  <c r="G147" i="1"/>
  <c r="H147" i="1" s="1"/>
  <c r="F147" i="1"/>
  <c r="H146" i="1"/>
  <c r="I145" i="1"/>
  <c r="G145" i="1"/>
  <c r="H145" i="1" s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H140" i="1"/>
  <c r="G140" i="1"/>
  <c r="F140" i="1"/>
  <c r="I139" i="1"/>
  <c r="G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H135" i="1"/>
  <c r="F135" i="1"/>
  <c r="F134" i="1" s="1"/>
  <c r="F133" i="1" s="1"/>
  <c r="G134" i="1"/>
  <c r="E134" i="1"/>
  <c r="E133" i="1" s="1"/>
  <c r="E150" i="1" s="1"/>
  <c r="D134" i="1"/>
  <c r="D133" i="1" s="1"/>
  <c r="I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G128" i="1" s="1"/>
  <c r="F129" i="1"/>
  <c r="I128" i="1"/>
  <c r="I150" i="1" s="1"/>
  <c r="H128" i="1"/>
  <c r="F128" i="1"/>
  <c r="F150" i="1" s="1"/>
  <c r="E128" i="1"/>
  <c r="D128" i="1"/>
  <c r="D150" i="1" s="1"/>
  <c r="C126" i="1"/>
  <c r="I106" i="1"/>
  <c r="H106" i="1"/>
  <c r="G106" i="1"/>
  <c r="F106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6" i="1" s="1"/>
  <c r="I95" i="1" s="1"/>
  <c r="G97" i="1"/>
  <c r="G96" i="1" s="1"/>
  <c r="G95" i="1" s="1"/>
  <c r="G107" i="1" s="1"/>
  <c r="F97" i="1"/>
  <c r="F96" i="1"/>
  <c r="F95" i="1" s="1"/>
  <c r="E96" i="1"/>
  <c r="E95" i="1" s="1"/>
  <c r="D96" i="1"/>
  <c r="D95" i="1"/>
  <c r="D107" i="1" s="1"/>
  <c r="I94" i="1"/>
  <c r="I92" i="1" s="1"/>
  <c r="I107" i="1" s="1"/>
  <c r="G94" i="1"/>
  <c r="H94" i="1" s="1"/>
  <c r="H92" i="1" s="1"/>
  <c r="F94" i="1"/>
  <c r="I93" i="1"/>
  <c r="H93" i="1"/>
  <c r="G93" i="1"/>
  <c r="F93" i="1"/>
  <c r="F92" i="1" s="1"/>
  <c r="F107" i="1" s="1"/>
  <c r="G92" i="1"/>
  <c r="E92" i="1"/>
  <c r="D92" i="1"/>
  <c r="C89" i="1"/>
  <c r="H85" i="1"/>
  <c r="F85" i="1"/>
  <c r="D85" i="1"/>
  <c r="G61" i="1"/>
  <c r="G60" i="1"/>
  <c r="H55" i="1"/>
  <c r="I32" i="1" s="1"/>
  <c r="G55" i="1"/>
  <c r="F55" i="1"/>
  <c r="E55" i="1"/>
  <c r="F32" i="1" s="1"/>
  <c r="E44" i="1"/>
  <c r="I43" i="1"/>
  <c r="G43" i="1"/>
  <c r="H43" i="1" s="1"/>
  <c r="F43" i="1"/>
  <c r="H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F34" i="1" s="1"/>
  <c r="I35" i="1"/>
  <c r="I34" i="1" s="1"/>
  <c r="H35" i="1"/>
  <c r="G35" i="1"/>
  <c r="F35" i="1"/>
  <c r="E35" i="1"/>
  <c r="G34" i="1"/>
  <c r="D34" i="1"/>
  <c r="I33" i="1"/>
  <c r="G33" i="1"/>
  <c r="H33" i="1" s="1"/>
  <c r="F33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G27" i="1"/>
  <c r="E27" i="1"/>
  <c r="D27" i="1"/>
  <c r="E26" i="1"/>
  <c r="D26" i="1"/>
  <c r="D44" i="1" s="1"/>
  <c r="I25" i="1"/>
  <c r="H25" i="1"/>
  <c r="G25" i="1"/>
  <c r="F25" i="1"/>
  <c r="F23" i="1" s="1"/>
  <c r="I24" i="1"/>
  <c r="I23" i="1" s="1"/>
  <c r="G24" i="1"/>
  <c r="G23" i="1" s="1"/>
  <c r="F24" i="1"/>
  <c r="E23" i="1"/>
  <c r="D23" i="1"/>
  <c r="H16" i="1"/>
  <c r="F16" i="1"/>
  <c r="D16" i="1"/>
  <c r="G133" i="1" l="1"/>
  <c r="G150" i="1" s="1"/>
  <c r="H134" i="1"/>
  <c r="F26" i="1"/>
  <c r="F44" i="1" s="1"/>
  <c r="F27" i="1"/>
  <c r="I27" i="1"/>
  <c r="I26" i="1" s="1"/>
  <c r="I44" i="1" s="1"/>
  <c r="G26" i="1"/>
  <c r="G44" i="1" s="1"/>
  <c r="H133" i="1"/>
  <c r="H150" i="1" s="1"/>
  <c r="F423" i="1"/>
  <c r="G413" i="1"/>
  <c r="G295" i="1"/>
  <c r="F299" i="1"/>
  <c r="G299" i="1"/>
  <c r="H391" i="1"/>
  <c r="H27" i="1"/>
  <c r="F184" i="1"/>
  <c r="G184" i="1" s="1"/>
  <c r="H23" i="1"/>
  <c r="H184" i="1"/>
  <c r="H139" i="1"/>
  <c r="I391" i="1"/>
  <c r="E107" i="1"/>
  <c r="G249" i="1"/>
  <c r="F253" i="1"/>
  <c r="G253" i="1" s="1"/>
  <c r="G391" i="1"/>
  <c r="H34" i="1"/>
  <c r="H97" i="1"/>
  <c r="H96" i="1" s="1"/>
  <c r="H95" i="1" s="1"/>
  <c r="H107" i="1" s="1"/>
  <c r="G175" i="1"/>
  <c r="H24" i="1"/>
  <c r="H26" i="1" l="1"/>
  <c r="H44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<sst xmlns="http://schemas.openxmlformats.org/spreadsheetml/2006/main" count="359" uniqueCount="152">
  <si>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</si>
  <si>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</si>
  <si>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</si>
  <si>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</si>
  <si>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</si>
  <si>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</si>
  <si>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</si>
  <si>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</si>
  <si>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</si>
  <si>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</si>
  <si>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</si>
  <si>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</si>
  <si>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</si>
  <si>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</si>
  <si>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</si>
  <si>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</si>
  <si>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</si>
  <si>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</si>
  <si>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</si>
  <si>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</si>
  <si>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</si>
  <si>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</si>
  <si>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</si>
  <si>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</si>
  <si>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</si>
  <si>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</si>
  <si>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</si>
  <si>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</si>
  <si>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</si>
  <si>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</si>
  <si>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</si>
  <si>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</si>
  <si>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</si>
  <si>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</si>
  <si>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</si>
  <si>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</si>
  <si>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</si>
  <si>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</si>
  <si>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</si>
  <si>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</si>
  <si>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</si>
  <si>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</si>
  <si>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</si>
  <si>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</si>
  <si>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</si>
  <si>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</si>
  <si>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</si>
  <si>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</si>
  <si>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</si>
  <si>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</si>
  <si>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</si>
  <si>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</si>
  <si>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</si>
  <si>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</si>
  <si>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</si>
  <si>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</si>
  <si>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</si>
  <si>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</si>
  <si>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</si>
  <si>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</si>
  <si>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</si>
  <si>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</si>
  <si>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</si>
  <si>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</si>
  <si>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</si>
  <si>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</si>
  <si>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</si>
  <si>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</si>
  <si>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</si>
  <si>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</si>
  <si>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</si>
  <si>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</si>
  <si>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</si>
  <si>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</si>
  <si>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</si>
  <si>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</si>
  <si>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</si>
  <si>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</si>
  <si>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</si>
  <si>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</si>
  <si>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</si>
  <si>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</si>
  <si>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</si>
  <si>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</si>
  <si>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</si>
  <si>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</si>
  <si>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</si>
  <si>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</si>
  <si>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</si>
  <si>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</si>
  <si>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</si>
  <si>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</si>
  <si>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</si>
  <si>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</si>
  <si>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</si>
  <si>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</si>
  <si>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</si>
  <si>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</si>
  <si>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</si>
  <si>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</si>
  <si>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</si>
  <si>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</si>
  <si>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</si>
  <si>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</si>
  <si>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</si>
  <si>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</si>
  <si>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</si>
  <si>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</si>
  <si>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</si>
  <si>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</si>
  <si>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</si>
  <si>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</si>
  <si>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</si>
  <si>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</si>
  <si>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</si>
  <si>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</si>
  <si>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</si>
  <si>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</si>
  <si>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</si>
  <si>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</si>
  <si>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</si>
  <si>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</si>
  <si>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</si>
  <si>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</si>
  <si>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</si>
  <si>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</si>
  <si>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</si>
  <si>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</si>
  <si>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</si>
  <si>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</si>
  <si>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</si>
  <si>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</si>
  <si>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</si>
  <si>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</si>
  <si>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</si>
  <si>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</si>
  <si>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</si>
  <si>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</si>
  <si>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</si>
  <si>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</si>
  <si>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</si>
  <si>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</si>
  <si>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</si>
  <si>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</si>
  <si>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t>2 Registrert rekreasjonsfiske utgjør 59 tonn, men det legges til grunn at hele avsetningen tas</t>
  </si>
  <si>
    <t>4 Registrert rekreasjonsfiske utgjør 445 tonn, men det legges til grunn at hele avsetningen tas</t>
  </si>
  <si>
    <t>3 Registrert rekreasjonsfiske utgjør 811 tonn, men det legges til grunn at hele avsetningen tas</t>
  </si>
  <si>
    <t>FANGST UKE 32</t>
  </si>
  <si>
    <t>FANGST T.O.M UKE 32</t>
  </si>
  <si>
    <t>RESTKVOTER UKE 32</t>
  </si>
  <si>
    <t>FANGST T.O.M UKE 32 2023</t>
  </si>
  <si>
    <r>
      <t>3</t>
    </r>
    <r>
      <rPr>
        <sz val="9"/>
        <color indexed="8"/>
        <rFont val="Calibri"/>
        <family val="2"/>
      </rPr>
      <t xml:space="preserve"> Det er fisket 3 987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</si>
</sst>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122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141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12.942</v>
      </c>
      <c r="G23" s="28">
        <f t="shared" si="0"/>
        <v>37935.575940000002</v>
      </c>
      <c r="H23" s="11">
        <f t="shared" si="0"/>
        <v>22876.424059999998</v>
      </c>
      <c r="I23" s="11">
        <f t="shared" si="0"/>
        <v>53172.257380000003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12.357</f>
        <v>12.356999999999999</v>
      </c>
      <c r="G24" s="23">
        <f>37413.02715</f>
        <v>37413.027150000002</v>
      </c>
      <c r="H24" s="23">
        <f>E24-G24</f>
        <v>22628.972849999998</v>
      </c>
      <c r="I24" s="23">
        <f>52832.07903</f>
        <v>52832.079030000001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0.585</f>
        <v>0.58499999999999996</v>
      </c>
      <c r="G25" s="23">
        <f>522.54879</f>
        <v>522.54879000000005</v>
      </c>
      <c r="H25" s="23">
        <f>E25-G25</f>
        <v>247.45120999999995</v>
      </c>
      <c r="I25" s="23">
        <f>340.17835</f>
        <v>340.17835000000002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998.86771999999996</v>
      </c>
      <c r="G26" s="11">
        <f t="shared" si="1"/>
        <v>121749.92704</v>
      </c>
      <c r="H26" s="11">
        <f t="shared" si="1"/>
        <v>23124.072959999998</v>
      </c>
      <c r="I26" s="11">
        <f t="shared" si="1"/>
        <v>171595.68891000003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757.04178000000002</v>
      </c>
      <c r="G27" s="132">
        <f t="shared" ref="G27:I27" si="2">G28+G29+G30+G31+G32</f>
        <v>99187.235759999996</v>
      </c>
      <c r="H27" s="132">
        <f t="shared" si="2"/>
        <v>13790.764239999997</v>
      </c>
      <c r="I27" s="132">
        <f t="shared" si="2"/>
        <v>136129.04002000001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106.70288</f>
        <v>106.70287999999999</v>
      </c>
      <c r="G28" s="127">
        <f>26062.97662 - F56</f>
        <v>25724.976620000001</v>
      </c>
      <c r="H28" s="127">
        <f t="shared" ref="H28:H40" si="3">E28-G28</f>
        <v>2905.0233799999987</v>
      </c>
      <c r="I28" s="127">
        <f>36730.21661 - H56</f>
        <v>36264.216610000003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157.47361</f>
        <v>157.47361000000001</v>
      </c>
      <c r="G29" s="127">
        <f>27614.91363 - F57</f>
        <v>27155.913629999999</v>
      </c>
      <c r="H29" s="127">
        <f t="shared" si="3"/>
        <v>2509.0863700000009</v>
      </c>
      <c r="I29" s="127">
        <f>38135.03372 - H57</f>
        <v>37236.033719999999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189.48145</f>
        <v>189.48145</v>
      </c>
      <c r="G30" s="127">
        <f>26204.00613 - F58</f>
        <v>25440.006130000002</v>
      </c>
      <c r="H30" s="127">
        <f t="shared" si="3"/>
        <v>1803.9938699999984</v>
      </c>
      <c r="I30" s="127">
        <f>36567.96743 - H58</f>
        <v>34678.967429999997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90.38384</f>
        <v>90.383840000000006</v>
      </c>
      <c r="G31" s="127">
        <f>19305.33938 - F59</f>
        <v>18681.339380000001</v>
      </c>
      <c r="H31" s="127">
        <f t="shared" si="3"/>
        <v>657.66061999999874</v>
      </c>
      <c r="I31" s="127">
        <f>24695.82226 - H59</f>
        <v>23817.822260000001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213</v>
      </c>
      <c r="G32" s="127">
        <f>F55</f>
        <v>2185</v>
      </c>
      <c r="H32" s="127">
        <f t="shared" si="3"/>
        <v>5915</v>
      </c>
      <c r="I32" s="127">
        <f>H55</f>
        <v>4132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35.63684</f>
        <v>35.636839999999999</v>
      </c>
      <c r="G33" s="132">
        <f>10680.4903</f>
        <v>10680.490299999999</v>
      </c>
      <c r="H33" s="132">
        <f t="shared" si="3"/>
        <v>6178.5097000000005</v>
      </c>
      <c r="I33" s="132">
        <f>15407.495</f>
        <v>15407.495000000001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206.1891</v>
      </c>
      <c r="G34" s="132">
        <f>G35+G36</f>
        <v>11882.20098</v>
      </c>
      <c r="H34" s="132">
        <f t="shared" si="3"/>
        <v>3154.7990200000004</v>
      </c>
      <c r="I34" s="132">
        <f>I35+I36</f>
        <v>20059.153890000001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118.1891</f>
        <v>118.1891</v>
      </c>
      <c r="G35" s="132">
        <f>14625.20098 - F60 - F61</f>
        <v>11577.20098</v>
      </c>
      <c r="H35" s="127">
        <f t="shared" si="3"/>
        <v>2499.7990200000004</v>
      </c>
      <c r="I35" s="127">
        <f>24401.15389 - H60 - H61</f>
        <v>19696.153890000001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88</v>
      </c>
      <c r="G36" s="71">
        <f>F60</f>
        <v>305</v>
      </c>
      <c r="H36" s="71">
        <f t="shared" si="3"/>
        <v>655</v>
      </c>
      <c r="I36" s="71">
        <f>H60</f>
        <v>363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0</f>
        <v>0</v>
      </c>
      <c r="G38" s="98">
        <f>469.77895</f>
        <v>469.77895000000001</v>
      </c>
      <c r="H38" s="98">
        <f t="shared" si="3"/>
        <v>385.22104999999999</v>
      </c>
      <c r="I38" s="98">
        <f>486.66974</f>
        <v>486.66973999999999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22</v>
      </c>
      <c r="G39" s="98">
        <f>F61</f>
        <v>2743</v>
      </c>
      <c r="H39" s="98">
        <f t="shared" si="3"/>
        <v>257</v>
      </c>
      <c r="I39" s="98">
        <f>H61</f>
        <v>4342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22.40444</f>
        <v>22.404440000000001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4.9089</f>
        <v>4.9089</v>
      </c>
      <c r="G41" s="98">
        <f>331.97591</f>
        <v>331.97591</v>
      </c>
      <c r="H41" s="98">
        <f>E41-G41</f>
        <v>68.024090000000001</v>
      </c>
      <c r="I41" s="98">
        <f>351.48265</f>
        <v>351.48264999999998</v>
      </c>
      <c r="J41" s="243"/>
    </row>
    <row r="42" spans="1:13" ht="17.25" customHeight="1" x14ac:dyDescent="0.25">
      <c r="A42" s="1"/>
      <c r="B42" s="253"/>
      <c r="C42" s="73" t="s">
        <v>129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101.59228</f>
        <v>101.59228</v>
      </c>
      <c r="H43" s="139">
        <f t="shared" ref="H43" si="4">E43-G43</f>
        <v>-101.59228</v>
      </c>
      <c r="I43" s="139">
        <f>79.67567</f>
        <v>79.675669999999997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1061.1230599999999</v>
      </c>
      <c r="G44" s="76">
        <f t="shared" si="5"/>
        <v>170680.21532000002</v>
      </c>
      <c r="H44" s="76">
        <f t="shared" si="5"/>
        <v>48360.784679999997</v>
      </c>
      <c r="I44" s="76">
        <f t="shared" si="5"/>
        <v>237774.56595000002</v>
      </c>
      <c r="J44" s="243"/>
    </row>
    <row r="45" spans="1:13" ht="14.1" customHeight="1" x14ac:dyDescent="0.25">
      <c r="A45" s="101"/>
      <c r="B45" s="24"/>
      <c r="C45" s="77" t="s">
        <v>130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131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213</v>
      </c>
      <c r="F55" s="11">
        <f>F59+F58+F57+F56</f>
        <v>2185</v>
      </c>
      <c r="G55" s="295">
        <f>D55-F55</f>
        <v>5687</v>
      </c>
      <c r="H55" s="11">
        <f>H59+H58+H57+H56</f>
        <v>4132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>
        <v>32</v>
      </c>
      <c r="F56" s="127">
        <v>338</v>
      </c>
      <c r="G56" s="296"/>
      <c r="H56" s="127">
        <v>466</v>
      </c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>
        <v>40</v>
      </c>
      <c r="F57" s="127">
        <v>459</v>
      </c>
      <c r="G57" s="296"/>
      <c r="H57" s="127">
        <v>899</v>
      </c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>
        <v>59</v>
      </c>
      <c r="F58" s="127">
        <v>764</v>
      </c>
      <c r="G58" s="296"/>
      <c r="H58" s="127">
        <v>1889</v>
      </c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>
        <v>82</v>
      </c>
      <c r="F59" s="192">
        <v>624</v>
      </c>
      <c r="G59" s="297"/>
      <c r="H59" s="192">
        <v>878</v>
      </c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88</v>
      </c>
      <c r="F60" s="95">
        <v>305</v>
      </c>
      <c r="G60" s="95">
        <f>D60-F60</f>
        <v>655</v>
      </c>
      <c r="H60" s="95">
        <v>363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22</v>
      </c>
      <c r="F61" s="139">
        <v>2743</v>
      </c>
      <c r="G61" s="139">
        <f>D61-F61</f>
        <v>257</v>
      </c>
      <c r="H61" s="139">
        <v>4342</v>
      </c>
      <c r="I61" s="257"/>
      <c r="J61" s="243"/>
    </row>
    <row r="62" spans="1:10" ht="14.1" customHeight="1" x14ac:dyDescent="0.25">
      <c r="A62" s="101"/>
      <c r="B62" s="24"/>
      <c r="C62" s="77" t="s">
        <v>132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08.7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142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2.2763999999999998</v>
      </c>
      <c r="G92" s="11">
        <f t="shared" si="6"/>
        <v>23270.609280000001</v>
      </c>
      <c r="H92" s="11">
        <f t="shared" si="6"/>
        <v>2690.3907200000008</v>
      </c>
      <c r="I92" s="11">
        <f t="shared" si="6"/>
        <v>39244.199120000005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1.2964</f>
        <v>1.2964</v>
      </c>
      <c r="G93" s="23">
        <f>22491.39203</f>
        <v>22491.392029999999</v>
      </c>
      <c r="H93" s="23">
        <f>E93-G93</f>
        <v>2644.6079700000009</v>
      </c>
      <c r="I93" s="23">
        <f>38744.33213</f>
        <v>38744.332130000003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0.98</f>
        <v>0.98</v>
      </c>
      <c r="G94" s="50">
        <f>779.21725</f>
        <v>779.21725000000004</v>
      </c>
      <c r="H94" s="50">
        <f>E94-G94</f>
        <v>45.782749999999965</v>
      </c>
      <c r="I94" s="50">
        <f>499.86699</f>
        <v>499.86698999999999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608.64278999999999</v>
      </c>
      <c r="G95" s="11">
        <f t="shared" si="7"/>
        <v>36461.712139999996</v>
      </c>
      <c r="H95" s="11">
        <f t="shared" si="7"/>
        <v>12532.287859999999</v>
      </c>
      <c r="I95" s="11">
        <f t="shared" si="7"/>
        <v>25835.284619999999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575.39400000000001</v>
      </c>
      <c r="G96" s="132">
        <f t="shared" si="8"/>
        <v>29276.776229999999</v>
      </c>
      <c r="H96" s="132">
        <f t="shared" si="8"/>
        <v>8217.2237699999987</v>
      </c>
      <c r="I96" s="132">
        <f t="shared" si="8"/>
        <v>18809.63351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67.65654</f>
        <v>67.656540000000007</v>
      </c>
      <c r="G97" s="127">
        <f>4428.5138</f>
        <v>4428.5137999999997</v>
      </c>
      <c r="H97" s="127">
        <f t="shared" ref="H97:H104" si="9">E97-G97</f>
        <v>5586.4862000000003</v>
      </c>
      <c r="I97" s="127">
        <f>2655.64772</f>
        <v>2655.6477199999999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172.40448</f>
        <v>172.40448000000001</v>
      </c>
      <c r="G98" s="127">
        <f>9608.37843</f>
        <v>9608.3784300000007</v>
      </c>
      <c r="H98" s="127">
        <f t="shared" si="9"/>
        <v>1005.6215699999993</v>
      </c>
      <c r="I98" s="127">
        <f>5785.98773</f>
        <v>5785.9877299999998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211.30206</f>
        <v>211.30206000000001</v>
      </c>
      <c r="G99" s="127">
        <f>9188.80823</f>
        <v>9188.8082300000005</v>
      </c>
      <c r="H99" s="127">
        <f t="shared" si="9"/>
        <v>923.19176999999945</v>
      </c>
      <c r="I99" s="127">
        <f>5519.69021</f>
        <v>5519.6902099999998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124.03092</f>
        <v>124.03091999999999</v>
      </c>
      <c r="G100" s="127">
        <f>6051.07577</f>
        <v>6051.0757700000004</v>
      </c>
      <c r="H100" s="127">
        <f t="shared" si="9"/>
        <v>701.92422999999962</v>
      </c>
      <c r="I100" s="127">
        <f>4848.30785</f>
        <v>4848.3078500000001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1.78568</f>
        <v>1.7856799999999999</v>
      </c>
      <c r="G101" s="132">
        <f>5202.57035</f>
        <v>5202.57035</v>
      </c>
      <c r="H101" s="132">
        <f t="shared" si="9"/>
        <v>2393.42965</v>
      </c>
      <c r="I101" s="132">
        <f>5684.89477</f>
        <v>5684.8947699999999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31.46311</f>
        <v>31.46311</v>
      </c>
      <c r="G102" s="75">
        <f>1982.36556</f>
        <v>1982.36556</v>
      </c>
      <c r="H102" s="75">
        <f t="shared" si="9"/>
        <v>1921.63444</v>
      </c>
      <c r="I102" s="75">
        <f>1340.75634</f>
        <v>1340.7563399999999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36.10276</f>
        <v>36.102760000000004</v>
      </c>
      <c r="H103" s="98">
        <f t="shared" si="9"/>
        <v>282.89724000000001</v>
      </c>
      <c r="I103" s="98">
        <f>11.24867</f>
        <v>11.248670000000001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0.53472</f>
        <v>0.53471999999999997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0.7218</f>
        <v>0.7218</v>
      </c>
      <c r="G105" s="98">
        <f>21.72066</f>
        <v>21.720659999999999</v>
      </c>
      <c r="H105" s="139">
        <f>E105-G105</f>
        <v>28.279340000000001</v>
      </c>
      <c r="I105" s="98">
        <f>7.2586</f>
        <v>7.2586000000000004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27.36596</f>
        <v>27.365960000000001</v>
      </c>
      <c r="H106" s="139">
        <f t="shared" ref="H106" si="10">E106-G106</f>
        <v>-27.365960000000001</v>
      </c>
      <c r="I106" s="139">
        <f>87.91976</f>
        <v>87.919759999999997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612.17570999999998</v>
      </c>
      <c r="G107" s="76">
        <f t="shared" si="12"/>
        <v>60117.510799999996</v>
      </c>
      <c r="H107" s="76">
        <f t="shared" si="12"/>
        <v>15506.4892</v>
      </c>
      <c r="I107" s="76">
        <f t="shared" si="12"/>
        <v>65485.910770000002</v>
      </c>
      <c r="J107" s="243"/>
    </row>
    <row r="108" spans="1:10" ht="13.5" customHeight="1" x14ac:dyDescent="0.25">
      <c r="A108" s="1"/>
      <c r="B108" s="253"/>
      <c r="C108" s="77" t="s">
        <v>133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134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479.8116</v>
      </c>
      <c r="G128" s="11">
        <f t="shared" si="13"/>
        <v>41564.694369999997</v>
      </c>
      <c r="H128" s="11">
        <f t="shared" si="13"/>
        <v>30742.305629999999</v>
      </c>
      <c r="I128" s="11">
        <f t="shared" si="13"/>
        <v>43027.157549999996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376.1316</f>
        <v>376.13159999999999</v>
      </c>
      <c r="G129" s="23">
        <f>37033.62221</f>
        <v>37033.622210000001</v>
      </c>
      <c r="H129" s="23">
        <f>E129-G129</f>
        <v>20528.377789999999</v>
      </c>
      <c r="I129" s="23">
        <f>38081.6928</f>
        <v>38081.692799999997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103.68</f>
        <v>103.68</v>
      </c>
      <c r="G130" s="23">
        <f>4465.62201</f>
        <v>4465.62201</v>
      </c>
      <c r="H130" s="23">
        <f>E130-G130</f>
        <v>9779.3779900000009</v>
      </c>
      <c r="I130" s="23">
        <f>4830.1585</f>
        <v>4830.1584999999995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1125.614</f>
        <v>1125.614</v>
      </c>
      <c r="G132" s="95">
        <f>12479.214+3986.9109</f>
        <v>16466.124899999999</v>
      </c>
      <c r="H132" s="95">
        <f>E132-G132</f>
        <v>36029.875100000005</v>
      </c>
      <c r="I132" s="95">
        <f>32982.12529</f>
        <v>32982.125290000004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1024.4245000000001</v>
      </c>
      <c r="G133" s="94">
        <f t="shared" ref="G133" si="14">G134+G139+G142</f>
        <v>51064.301979999997</v>
      </c>
      <c r="H133" s="94">
        <f>H134+H139+H142</f>
        <v>29100.69802</v>
      </c>
      <c r="I133" s="94">
        <f>I134+I139+I142</f>
        <v>55327.08094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808.76022999999998</v>
      </c>
      <c r="G134" s="125">
        <f>G135+G136+G138+G137</f>
        <v>37618.363039999997</v>
      </c>
      <c r="H134" s="125">
        <f>H135+H136+H137+H138</f>
        <v>21460.63696</v>
      </c>
      <c r="I134" s="125">
        <f>I135+I136+I137+I138</f>
        <v>43846.735419999997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170.46368</f>
        <v>170.46368000000001</v>
      </c>
      <c r="G135" s="127">
        <v>7705.52808</v>
      </c>
      <c r="H135" s="127">
        <f>E135-G135</f>
        <v>10068.47192</v>
      </c>
      <c r="I135" s="127">
        <f>6785.8283</f>
        <v>6785.8283000000001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108.44913</f>
        <v>108.44913</v>
      </c>
      <c r="G136" s="127">
        <v>11036.439705000001</v>
      </c>
      <c r="H136" s="127">
        <f>E136-G136</f>
        <v>3902.5602949999993</v>
      </c>
      <c r="I136" s="127">
        <f>11341.90281</f>
        <v>11341.90281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285.43112</f>
        <v>285.43112000000002</v>
      </c>
      <c r="G137" s="127">
        <v>9751.5294849999991</v>
      </c>
      <c r="H137" s="127">
        <f>E137-G137</f>
        <v>3299.4705150000009</v>
      </c>
      <c r="I137" s="127">
        <f>13932.57201</f>
        <v>13932.57201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244.4163</f>
        <v>244.41630000000001</v>
      </c>
      <c r="G138" s="127">
        <v>9124.8657700000003</v>
      </c>
      <c r="H138" s="127">
        <f>E138-G138</f>
        <v>4190.1342299999997</v>
      </c>
      <c r="I138" s="127">
        <f>11786.4323</f>
        <v>11786.4323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4.79033</v>
      </c>
      <c r="G139" s="132">
        <f>SUM(G140:G141)</f>
        <v>8860.6912700000012</v>
      </c>
      <c r="H139" s="132">
        <f>H140+H141</f>
        <v>69.308729999999514</v>
      </c>
      <c r="I139" s="132">
        <f>SUM(I140:I141)</f>
        <v>6601.0207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8455.5614</f>
        <v>8455.5614000000005</v>
      </c>
      <c r="H140" s="127">
        <f t="shared" ref="H140:H148" si="15">E140-G140</f>
        <v>-25.561400000000503</v>
      </c>
      <c r="I140" s="127">
        <f>6426.2102</f>
        <v>6426.2102000000004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4.79033</f>
        <v>4.79033</v>
      </c>
      <c r="G141" s="127">
        <f>405.12987</f>
        <v>405.12986999999998</v>
      </c>
      <c r="H141" s="127">
        <f t="shared" si="15"/>
        <v>94.870130000000017</v>
      </c>
      <c r="I141" s="127">
        <f>174.8105</f>
        <v>174.81049999999999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210.87394</f>
        <v>210.87394</v>
      </c>
      <c r="G142" s="75">
        <f>4585.24767</f>
        <v>4585.2476699999997</v>
      </c>
      <c r="H142" s="75">
        <f t="shared" si="15"/>
        <v>7570.7523300000003</v>
      </c>
      <c r="I142" s="75">
        <f>4879.32482</f>
        <v>4879.3248199999998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30.361</f>
        <v>30.361000000000001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24.84474</f>
        <v>24.844740000000002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0.63805</f>
        <v>0.63805000000000001</v>
      </c>
      <c r="G147" s="98">
        <f>44.19563</f>
        <v>44.195630000000001</v>
      </c>
      <c r="H147" s="139">
        <f t="shared" si="15"/>
        <v>231.80437000000001</v>
      </c>
      <c r="I147" s="98">
        <f>26.74143</f>
        <v>26.741430000000001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0.4284</f>
        <v>0.4284</v>
      </c>
      <c r="G148" s="139">
        <f>114.28194</f>
        <v>114.28194000000001</v>
      </c>
      <c r="H148" s="139">
        <f t="shared" si="15"/>
        <v>-114.28194000000001</v>
      </c>
      <c r="I148" s="139">
        <f>95.18393</f>
        <v>95.183930000000004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2655.7612899999999</v>
      </c>
      <c r="G150" s="76">
        <f>G128+G132+G133+G143+G144+G145+G146+G147+G148</f>
        <v>111525.34736999999</v>
      </c>
      <c r="H150" s="76">
        <f>H128+H132+H133+H143+H144+H145+H146+H147+H148</f>
        <v>96114.652630000011</v>
      </c>
      <c r="I150" s="76">
        <f>I128+I132+I133+I143+I144+I145+I146+I147+I148</f>
        <v>133751.23114000002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135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136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6.09552</f>
        <v>6.0955199999999996</v>
      </c>
      <c r="F175" s="275">
        <f>770.51575</f>
        <v>770.51575000000003</v>
      </c>
      <c r="G175" s="43">
        <f>D175-F175-F176</f>
        <v>2149.4021400000001</v>
      </c>
      <c r="H175" s="275">
        <f>1354.56425</f>
        <v>1354.5642499999999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6.00066</f>
        <v>6.0006599999999999</v>
      </c>
      <c r="F176" s="152">
        <f>1303.08211</f>
        <v>1303.0821100000001</v>
      </c>
      <c r="G176" s="216"/>
      <c r="H176" s="152">
        <f>1495.3709</f>
        <v>1495.3708999999999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82.16938</f>
        <v>82.169380000000004</v>
      </c>
      <c r="G177" s="172">
        <f>D177-F177</f>
        <v>117.83062</v>
      </c>
      <c r="H177" s="172">
        <f>71.56716</f>
        <v>71.567160000000001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1938.6678200000001</v>
      </c>
      <c r="F178" s="181">
        <f>F179+F180+F181</f>
        <v>5808.77333</v>
      </c>
      <c r="G178" s="181">
        <f>D178-F178</f>
        <v>525.22667000000001</v>
      </c>
      <c r="H178" s="181">
        <f>H179+H180+H181</f>
        <v>6139.3277699999999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1198.88758</f>
        <v>1198.8875800000001</v>
      </c>
      <c r="F179" s="127">
        <f>3060.72086</f>
        <v>3060.7208599999999</v>
      </c>
      <c r="G179" s="127"/>
      <c r="H179" s="127">
        <f>3049.66267</f>
        <v>3049.6626700000002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507.43649</f>
        <v>507.43648999999999</v>
      </c>
      <c r="F180" s="127">
        <f>1722.54413</f>
        <v>1722.54413</v>
      </c>
      <c r="G180" s="127"/>
      <c r="H180" s="127">
        <f>1893.29103</f>
        <v>1893.2910300000001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232.34375</f>
        <v>232.34375</v>
      </c>
      <c r="F181" s="192">
        <f>1025.50834</f>
        <v>1025.5083400000001</v>
      </c>
      <c r="G181" s="192"/>
      <c r="H181" s="192">
        <f>1196.37407</f>
        <v>1196.3740700000001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1950.7640000000001</v>
      </c>
      <c r="F184" s="194">
        <f>F175+F176+F177+F178+F182+F183</f>
        <v>7964.5405699999992</v>
      </c>
      <c r="G184" s="194">
        <f>D184-F184</f>
        <v>2858.4594300000008</v>
      </c>
      <c r="H184" s="194">
        <f>H175+H176+H177+H178+H182+H183</f>
        <v>9060.8300799999997</v>
      </c>
      <c r="I184" s="163"/>
      <c r="J184" s="160"/>
    </row>
    <row r="185" spans="1:10" ht="42" customHeight="1" x14ac:dyDescent="0.25">
      <c r="A185" s="1"/>
      <c r="B185" s="198"/>
      <c r="C185" s="226" t="s">
        <v>143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127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88.27658</f>
        <v>88.276579999999996</v>
      </c>
      <c r="F204" s="124">
        <f>37581.8971</f>
        <v>37581.897100000002</v>
      </c>
      <c r="G204" s="124">
        <f>D204-F204</f>
        <v>8700.102899999998</v>
      </c>
      <c r="H204" s="124">
        <f>38671.67898</f>
        <v>38671.678979999997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0.459</f>
        <v>0.45900000000000002</v>
      </c>
      <c r="F205" s="124">
        <f>27.55482</f>
        <v>27.554819999999999</v>
      </c>
      <c r="G205" s="124">
        <f>D205-F205</f>
        <v>72.445179999999993</v>
      </c>
      <c r="H205" s="124">
        <f>47.62075</f>
        <v>47.620750000000001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88.735579999999999</v>
      </c>
      <c r="F207" s="190">
        <f>SUM(F204:F206)</f>
        <v>37609.45192</v>
      </c>
      <c r="G207" s="190">
        <f>D207-F207</f>
        <v>8808.5480800000005</v>
      </c>
      <c r="H207" s="190">
        <f>SUM(H204:H206)</f>
        <v>38719.299729999999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125</v>
      </c>
      <c r="D249" s="124">
        <v>3987</v>
      </c>
      <c r="E249" s="75">
        <f>E250+E251</f>
        <v>18.40663</v>
      </c>
      <c r="F249" s="75">
        <f>F250+F251</f>
        <v>3555.1899199999998</v>
      </c>
      <c r="G249" s="75">
        <f>D249-F249</f>
        <v>431.8100800000002</v>
      </c>
      <c r="H249" s="75">
        <f>H250+H251</f>
        <v>3054.61429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9.96113</f>
        <v>9.9611300000000007</v>
      </c>
      <c r="F250" s="75">
        <f>3047.35911</f>
        <v>3047.3591099999999</v>
      </c>
      <c r="G250" s="75"/>
      <c r="H250" s="75">
        <f>2550.28782</f>
        <v>2550.28782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8.4455</f>
        <v>8.4454999999999991</v>
      </c>
      <c r="F251" s="124">
        <f>507.83081</f>
        <v>507.83080999999999</v>
      </c>
      <c r="G251" s="168"/>
      <c r="H251" s="124">
        <f>504.32647</f>
        <v>504.32646999999997</v>
      </c>
      <c r="I251" s="247"/>
      <c r="J251" s="120"/>
    </row>
    <row r="252" spans="1:10" ht="15" customHeight="1" x14ac:dyDescent="0.25">
      <c r="A252" s="1"/>
      <c r="B252" s="253"/>
      <c r="C252" s="90" t="s">
        <v>126</v>
      </c>
      <c r="D252" s="124">
        <v>4613</v>
      </c>
      <c r="E252" s="75">
        <f>57.65244</f>
        <v>57.652439999999999</v>
      </c>
      <c r="F252" s="75">
        <f>4896.32487</f>
        <v>4896.3248700000004</v>
      </c>
      <c r="G252" s="75">
        <f>D252-F252</f>
        <v>-283.32487000000037</v>
      </c>
      <c r="H252" s="75">
        <f>4621.36503</f>
        <v>4621.3650299999999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SUM(E249,E252)</f>
        <v>76.059069999999991</v>
      </c>
      <c r="F253" s="190">
        <f>SUM(F249,F252)</f>
        <v>8451.5147900000011</v>
      </c>
      <c r="G253" s="190">
        <f>D253-F253</f>
        <v>148.48520999999892</v>
      </c>
      <c r="H253" s="190">
        <f>SUM(H249,H252)</f>
        <v>7675.9793200000004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119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125</v>
      </c>
      <c r="D295" s="124">
        <v>5090</v>
      </c>
      <c r="E295" s="75">
        <f>E296+E297</f>
        <v>33.205660000000002</v>
      </c>
      <c r="F295" s="75">
        <f>F296+F297</f>
        <v>4077.0274799999997</v>
      </c>
      <c r="G295" s="75">
        <f>D295-F295</f>
        <v>1012.9725200000003</v>
      </c>
      <c r="H295" s="75">
        <f>H296+H297</f>
        <v>4220.1826600000004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30.90912</f>
        <v>30.909120000000001</v>
      </c>
      <c r="F296" s="75">
        <f>3647.73497</f>
        <v>3647.73497</v>
      </c>
      <c r="G296" s="75"/>
      <c r="H296" s="75">
        <f>3806.72332</f>
        <v>3806.7233200000001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2.29654</f>
        <v>2.2965399999999998</v>
      </c>
      <c r="F297" s="124">
        <f>429.29251</f>
        <v>429.29250999999999</v>
      </c>
      <c r="G297" s="168"/>
      <c r="H297" s="124">
        <f>413.45934</f>
        <v>413.45934</v>
      </c>
      <c r="I297" s="247"/>
      <c r="J297" s="120"/>
    </row>
    <row r="298" spans="1:10" ht="15" customHeight="1" x14ac:dyDescent="0.25">
      <c r="A298" s="1"/>
      <c r="B298" s="253"/>
      <c r="C298" s="90" t="s">
        <v>126</v>
      </c>
      <c r="D298" s="124">
        <v>2981</v>
      </c>
      <c r="E298" s="75">
        <f>60.28878</f>
        <v>60.288780000000003</v>
      </c>
      <c r="F298" s="75">
        <f>2221.48231</f>
        <v>2221.4823099999999</v>
      </c>
      <c r="G298" s="75">
        <f>D298-F298</f>
        <v>759.51769000000013</v>
      </c>
      <c r="H298" s="75">
        <f>2651.19306</f>
        <v>2651.1930600000001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SUM(E295,E298)</f>
        <v>93.494439999999997</v>
      </c>
      <c r="F299" s="190">
        <f>SUM(F295,F298)</f>
        <v>6298.5097900000001</v>
      </c>
      <c r="G299" s="190">
        <f>D299-F299</f>
        <v>1772.4902099999999</v>
      </c>
      <c r="H299" s="190">
        <f>SUM(H295,H298)</f>
        <v>6871.37572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128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3.02101</f>
        <v>3.02101</v>
      </c>
      <c r="F350" s="124">
        <f>430.82454</f>
        <v>430.82454000000001</v>
      </c>
      <c r="G350" s="124">
        <f>D350-F350</f>
        <v>369.17545999999999</v>
      </c>
      <c r="H350" s="124">
        <f>398.90908</f>
        <v>398.90908000000002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76.6553</f>
        <v>76.655299999999997</v>
      </c>
      <c r="F351" s="124">
        <f>1548.14126</f>
        <v>1548.1412600000001</v>
      </c>
      <c r="G351" s="124">
        <f>D351-F351</f>
        <v>1492.8587399999999</v>
      </c>
      <c r="H351" s="124">
        <f>1884.90745</f>
        <v>1884.9074499999999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1.6866</f>
        <v>1.6866000000000001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79.676310000000001</v>
      </c>
      <c r="F354" s="190">
        <f>SUM(F350:F353)</f>
        <v>1982.66642</v>
      </c>
      <c r="G354" s="190">
        <f>D354-F354</f>
        <v>1868.33358</v>
      </c>
      <c r="H354" s="190">
        <f>H350+H351+H352+H353</f>
        <v>2288.2418699999998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139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140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513.63444000000004</v>
      </c>
      <c r="G380" s="252">
        <f t="shared" si="17"/>
        <v>9766.9830700000002</v>
      </c>
      <c r="H380" s="252">
        <f>H384+H383+H382+H381</f>
        <v>13202.01693</v>
      </c>
      <c r="I380" s="252">
        <f t="shared" si="17"/>
        <v>8410.4063100000003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125.32316</f>
        <v>125.32316</v>
      </c>
      <c r="G381" s="256">
        <f>5500.93597</f>
        <v>5500.9359700000005</v>
      </c>
      <c r="H381" s="256">
        <f t="shared" ref="H381:H385" si="18">E381-G381</f>
        <v>7689.0640299999995</v>
      </c>
      <c r="I381" s="256">
        <f>3855.38629</f>
        <v>3855.3862899999999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271.2852</f>
        <v>271.28519999999997</v>
      </c>
      <c r="G382" s="256">
        <f>1183.7259</f>
        <v>1183.7258999999999</v>
      </c>
      <c r="H382" s="256">
        <f t="shared" si="18"/>
        <v>2249.2741000000001</v>
      </c>
      <c r="I382" s="256">
        <f>892.13805</f>
        <v>892.13805000000002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5.92368</f>
        <v>5.9236800000000001</v>
      </c>
      <c r="G383" s="256">
        <f>1435.89574</f>
        <v>1435.8957399999999</v>
      </c>
      <c r="H383" s="256">
        <f t="shared" si="18"/>
        <v>47.104260000000068</v>
      </c>
      <c r="I383" s="256">
        <f>1510.60667</f>
        <v>1510.6066699999999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111.1024</f>
        <v>111.1024</v>
      </c>
      <c r="G384" s="256">
        <f>1646.42546</f>
        <v>1646.4254599999999</v>
      </c>
      <c r="H384" s="256">
        <f t="shared" si="18"/>
        <v>3216.5745400000001</v>
      </c>
      <c r="I384" s="256">
        <f>2152.2753</f>
        <v>2152.2752999999998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</f>
        <v>0</v>
      </c>
      <c r="G385" s="267">
        <f>2134.01578</f>
        <v>2134.0157800000002</v>
      </c>
      <c r="H385" s="267">
        <f t="shared" si="18"/>
        <v>3365.9842199999998</v>
      </c>
      <c r="I385" s="267">
        <f>5098.15528</f>
        <v>5098.1552799999999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78.174539999999993</v>
      </c>
      <c r="G386" s="268">
        <f>G388+G387</f>
        <v>2077.0907499999998</v>
      </c>
      <c r="H386" s="268">
        <f>E386-G386</f>
        <v>5922.9092500000006</v>
      </c>
      <c r="I386" s="268">
        <f>I388+I387</f>
        <v>2626.3069299999997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7.8377</f>
        <v>7.8376999999999999</v>
      </c>
      <c r="G387" s="256">
        <f>608.07433</f>
        <v>608.07433000000003</v>
      </c>
      <c r="H387" s="256"/>
      <c r="I387" s="256">
        <f>838.81088</f>
        <v>838.81088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70.33684</f>
        <v>70.336839999999995</v>
      </c>
      <c r="G388" s="277">
        <f>1469.01642</f>
        <v>1469.0164199999999</v>
      </c>
      <c r="H388" s="277"/>
      <c r="I388" s="277">
        <f>1787.49605</f>
        <v>1787.49605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0.1164</f>
        <v>0.1164</v>
      </c>
      <c r="H389" s="267">
        <f>E389-G389</f>
        <v>12.883599999999999</v>
      </c>
      <c r="I389" s="267">
        <f>0.0735</f>
        <v>7.3499999999999996E-2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13.301</f>
        <v>13.301</v>
      </c>
      <c r="G390" s="267">
        <f>99.54072</f>
        <v>99.540719999999993</v>
      </c>
      <c r="H390" s="267">
        <f>E390-G390</f>
        <v>-99.540719999999993</v>
      </c>
      <c r="I390" s="267">
        <f>70.36118</f>
        <v>70.361180000000004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605.10998000000006</v>
      </c>
      <c r="G391" s="286">
        <f t="shared" si="19"/>
        <v>14077.746720000001</v>
      </c>
      <c r="H391" s="286">
        <f>H380+H385+H386+H389+H390</f>
        <v>22404.253280000001</v>
      </c>
      <c r="I391" s="286">
        <f t="shared" si="19"/>
        <v>16205.3032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138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137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120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62.71808</v>
      </c>
      <c r="F413" s="26">
        <f>SUM(F414:F415)</f>
        <v>477.16247999999996</v>
      </c>
      <c r="G413" s="85">
        <f>D413-F413</f>
        <v>757.83752000000004</v>
      </c>
      <c r="H413" s="26">
        <f>SUM(H414:H415)</f>
        <v>428.56768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51.75458</f>
        <v>51.754579999999997</v>
      </c>
      <c r="F414" s="205">
        <f>381.84058</f>
        <v>381.84057999999999</v>
      </c>
      <c r="G414" s="206"/>
      <c r="H414" s="205">
        <f>337.5032</f>
        <v>337.50319999999999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10.9635</f>
        <v>10.9635</v>
      </c>
      <c r="F415" s="208">
        <f>95.3219</f>
        <v>95.321899999999999</v>
      </c>
      <c r="G415" s="209"/>
      <c r="H415" s="208">
        <f>91.06448</f>
        <v>91.064480000000003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0</v>
      </c>
      <c r="G416" s="85">
        <f>D416-F416</f>
        <v>1060</v>
      </c>
      <c r="H416" s="26">
        <f>SUM(H417:H418)</f>
        <v>0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0</v>
      </c>
      <c r="F419" s="36">
        <f>SUM(F420:F421)</f>
        <v>0</v>
      </c>
      <c r="G419" s="85">
        <f>D419-F419</f>
        <v>1235</v>
      </c>
      <c r="H419" s="36">
        <f>SUM(H420:H421)</f>
        <v>0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62.71808</v>
      </c>
      <c r="F423" s="40">
        <f>F413+F416+F419+F422</f>
        <v>477.16247999999996</v>
      </c>
      <c r="G423" s="41"/>
      <c r="H423" s="40">
        <f>H413+H416+H419+H422</f>
        <v>428.56768</v>
      </c>
      <c r="I423" s="27"/>
      <c r="J423" s="130"/>
    </row>
    <row r="424" spans="1:10" ht="42" customHeight="1" x14ac:dyDescent="0.25">
      <c r="A424" s="217"/>
      <c r="B424" s="72"/>
      <c r="C424" s="292" t="s">
        <v>121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32&amp;R12.08.2024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2024-08-12T07:25:03Z</dcterms:modified>
</cp:coreProperties>
</file>