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3\"/>
    </mc:Choice>
  </mc:AlternateContent>
  <xr:revisionPtr revIDLastSave="0" documentId="13_ncr:1_{5DAF9CC4-313C-4294-BC30-9E2796B1CC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ukesstatistikk!$B$1:$J$423</definedName>
    <definedName name="Z_14D440E4_F18A_4F78_9989_38C1B133222D_.wvu.Rows" localSheetId="0" hidden="1">ukesstatistikk!#REF!,ukesstatistikk!#REF!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421" i="1"/>
  <c r="H419" i="1"/>
  <c r="F419" i="1"/>
  <c r="E419" i="1"/>
  <c r="E417" i="1" s="1"/>
  <c r="H418" i="1"/>
  <c r="H417" i="1" s="1"/>
  <c r="F418" i="1"/>
  <c r="F417" i="1" s="1"/>
  <c r="G417" i="1" s="1"/>
  <c r="E418" i="1"/>
  <c r="H416" i="1"/>
  <c r="F416" i="1"/>
  <c r="F414" i="1" s="1"/>
  <c r="G414" i="1" s="1"/>
  <c r="E416" i="1"/>
  <c r="H415" i="1"/>
  <c r="H414" i="1" s="1"/>
  <c r="H421" i="1" s="1"/>
  <c r="F415" i="1"/>
  <c r="E415" i="1"/>
  <c r="E414" i="1"/>
  <c r="H413" i="1"/>
  <c r="F413" i="1"/>
  <c r="E413" i="1"/>
  <c r="E411" i="1" s="1"/>
  <c r="E421" i="1" s="1"/>
  <c r="H412" i="1"/>
  <c r="F412" i="1"/>
  <c r="E412" i="1"/>
  <c r="H411" i="1"/>
  <c r="G411" i="1"/>
  <c r="F411" i="1"/>
  <c r="E389" i="1"/>
  <c r="D389" i="1"/>
  <c r="I388" i="1"/>
  <c r="G388" i="1"/>
  <c r="H388" i="1" s="1"/>
  <c r="F388" i="1"/>
  <c r="I387" i="1"/>
  <c r="G387" i="1"/>
  <c r="H387" i="1" s="1"/>
  <c r="F387" i="1"/>
  <c r="I386" i="1"/>
  <c r="G386" i="1"/>
  <c r="F386" i="1"/>
  <c r="F384" i="1" s="1"/>
  <c r="I385" i="1"/>
  <c r="G385" i="1"/>
  <c r="F385" i="1"/>
  <c r="I384" i="1"/>
  <c r="H384" i="1"/>
  <c r="G384" i="1"/>
  <c r="I383" i="1"/>
  <c r="H383" i="1"/>
  <c r="G383" i="1"/>
  <c r="F383" i="1"/>
  <c r="I382" i="1"/>
  <c r="I378" i="1" s="1"/>
  <c r="I389" i="1" s="1"/>
  <c r="H382" i="1"/>
  <c r="G382" i="1"/>
  <c r="F382" i="1"/>
  <c r="I381" i="1"/>
  <c r="H381" i="1"/>
  <c r="G381" i="1"/>
  <c r="F381" i="1"/>
  <c r="F378" i="1" s="1"/>
  <c r="F389" i="1" s="1"/>
  <c r="I380" i="1"/>
  <c r="H380" i="1"/>
  <c r="G380" i="1"/>
  <c r="F380" i="1"/>
  <c r="I379" i="1"/>
  <c r="H379" i="1"/>
  <c r="G379" i="1"/>
  <c r="F379" i="1"/>
  <c r="H378" i="1"/>
  <c r="G378" i="1"/>
  <c r="G389" i="1" s="1"/>
  <c r="E378" i="1"/>
  <c r="D378" i="1"/>
  <c r="H370" i="1"/>
  <c r="F370" i="1"/>
  <c r="D352" i="1"/>
  <c r="H351" i="1"/>
  <c r="F351" i="1"/>
  <c r="E351" i="1"/>
  <c r="H350" i="1"/>
  <c r="G350" i="1"/>
  <c r="F350" i="1"/>
  <c r="E350" i="1"/>
  <c r="H349" i="1"/>
  <c r="G349" i="1"/>
  <c r="F349" i="1"/>
  <c r="E349" i="1"/>
  <c r="H348" i="1"/>
  <c r="H352" i="1" s="1"/>
  <c r="G348" i="1"/>
  <c r="F348" i="1"/>
  <c r="F352" i="1" s="1"/>
  <c r="G352" i="1" s="1"/>
  <c r="E348" i="1"/>
  <c r="E352" i="1" s="1"/>
  <c r="D341" i="1"/>
  <c r="H296" i="1"/>
  <c r="F296" i="1"/>
  <c r="E296" i="1"/>
  <c r="H295" i="1"/>
  <c r="F295" i="1"/>
  <c r="E295" i="1"/>
  <c r="H294" i="1"/>
  <c r="H297" i="1" s="1"/>
  <c r="F294" i="1"/>
  <c r="F297" i="1" s="1"/>
  <c r="G297" i="1" s="1"/>
  <c r="E294" i="1"/>
  <c r="E297" i="1" s="1"/>
  <c r="H251" i="1"/>
  <c r="F251" i="1"/>
  <c r="E251" i="1"/>
  <c r="E252" i="1" s="1"/>
  <c r="H250" i="1"/>
  <c r="H252" i="1" s="1"/>
  <c r="F250" i="1"/>
  <c r="E250" i="1"/>
  <c r="H249" i="1"/>
  <c r="F249" i="1"/>
  <c r="F252" i="1" s="1"/>
  <c r="G252" i="1" s="1"/>
  <c r="E249" i="1"/>
  <c r="F207" i="1"/>
  <c r="G207" i="1" s="1"/>
  <c r="D207" i="1"/>
  <c r="G206" i="1"/>
  <c r="H205" i="1"/>
  <c r="F205" i="1"/>
  <c r="G205" i="1" s="1"/>
  <c r="E205" i="1"/>
  <c r="E207" i="1" s="1"/>
  <c r="H204" i="1"/>
  <c r="H207" i="1" s="1"/>
  <c r="G204" i="1"/>
  <c r="F204" i="1"/>
  <c r="E204" i="1"/>
  <c r="D184" i="1"/>
  <c r="G184" i="1" s="1"/>
  <c r="H182" i="1"/>
  <c r="F182" i="1"/>
  <c r="G182" i="1" s="1"/>
  <c r="E182" i="1"/>
  <c r="H181" i="1"/>
  <c r="F181" i="1"/>
  <c r="E181" i="1"/>
  <c r="E178" i="1" s="1"/>
  <c r="H180" i="1"/>
  <c r="H178" i="1" s="1"/>
  <c r="F180" i="1"/>
  <c r="E180" i="1"/>
  <c r="H179" i="1"/>
  <c r="F179" i="1"/>
  <c r="E179" i="1"/>
  <c r="F178" i="1"/>
  <c r="G178" i="1" s="1"/>
  <c r="H177" i="1"/>
  <c r="F177" i="1"/>
  <c r="G177" i="1" s="1"/>
  <c r="E177" i="1"/>
  <c r="H176" i="1"/>
  <c r="F176" i="1"/>
  <c r="F184" i="1" s="1"/>
  <c r="E176" i="1"/>
  <c r="E184" i="1" s="1"/>
  <c r="H175" i="1"/>
  <c r="F175" i="1"/>
  <c r="G175" i="1" s="1"/>
  <c r="E175" i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H140" i="1" s="1"/>
  <c r="F140" i="1"/>
  <c r="G139" i="1"/>
  <c r="F139" i="1"/>
  <c r="E139" i="1"/>
  <c r="I138" i="1"/>
  <c r="H138" i="1"/>
  <c r="F138" i="1"/>
  <c r="I137" i="1"/>
  <c r="H137" i="1"/>
  <c r="F137" i="1"/>
  <c r="I136" i="1"/>
  <c r="H136" i="1"/>
  <c r="F136" i="1"/>
  <c r="I135" i="1"/>
  <c r="I134" i="1" s="1"/>
  <c r="G134" i="1"/>
  <c r="G133" i="1" s="1"/>
  <c r="F135" i="1"/>
  <c r="F134" i="1" s="1"/>
  <c r="F133" i="1" s="1"/>
  <c r="E134" i="1"/>
  <c r="E133" i="1" s="1"/>
  <c r="E150" i="1" s="1"/>
  <c r="I132" i="1"/>
  <c r="F132" i="1"/>
  <c r="H131" i="1"/>
  <c r="I130" i="1"/>
  <c r="G130" i="1"/>
  <c r="H130" i="1" s="1"/>
  <c r="F130" i="1"/>
  <c r="I129" i="1"/>
  <c r="G129" i="1"/>
  <c r="G128" i="1" s="1"/>
  <c r="F129" i="1"/>
  <c r="F128" i="1" s="1"/>
  <c r="F150" i="1" s="1"/>
  <c r="I128" i="1"/>
  <c r="E128" i="1"/>
  <c r="C126" i="1"/>
  <c r="H106" i="1"/>
  <c r="H105" i="1"/>
  <c r="H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F96" i="1" s="1"/>
  <c r="F95" i="1" s="1"/>
  <c r="I96" i="1"/>
  <c r="I95" i="1" s="1"/>
  <c r="H96" i="1"/>
  <c r="H95" i="1" s="1"/>
  <c r="G96" i="1"/>
  <c r="E96" i="1"/>
  <c r="D96" i="1"/>
  <c r="D95" i="1" s="1"/>
  <c r="D107" i="1" s="1"/>
  <c r="G95" i="1"/>
  <c r="E95" i="1"/>
  <c r="I94" i="1"/>
  <c r="H94" i="1"/>
  <c r="G94" i="1"/>
  <c r="F94" i="1"/>
  <c r="F92" i="1" s="1"/>
  <c r="F107" i="1" s="1"/>
  <c r="I93" i="1"/>
  <c r="I92" i="1" s="1"/>
  <c r="H93" i="1"/>
  <c r="H92" i="1" s="1"/>
  <c r="H107" i="1" s="1"/>
  <c r="G93" i="1"/>
  <c r="G92" i="1" s="1"/>
  <c r="G107" i="1" s="1"/>
  <c r="F93" i="1"/>
  <c r="E92" i="1"/>
  <c r="E107" i="1" s="1"/>
  <c r="C89" i="1"/>
  <c r="H85" i="1"/>
  <c r="F85" i="1"/>
  <c r="D85" i="1"/>
  <c r="G61" i="1"/>
  <c r="G60" i="1"/>
  <c r="H55" i="1"/>
  <c r="I32" i="1" s="1"/>
  <c r="F55" i="1"/>
  <c r="G55" i="1" s="1"/>
  <c r="E55" i="1"/>
  <c r="E44" i="1"/>
  <c r="D44" i="1"/>
  <c r="H43" i="1"/>
  <c r="H42" i="1"/>
  <c r="H41" i="1"/>
  <c r="H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F34" i="1" s="1"/>
  <c r="I35" i="1"/>
  <c r="H35" i="1"/>
  <c r="G35" i="1"/>
  <c r="F35" i="1"/>
  <c r="I33" i="1"/>
  <c r="H33" i="1"/>
  <c r="G33" i="1"/>
  <c r="F33" i="1"/>
  <c r="F32" i="1"/>
  <c r="I31" i="1"/>
  <c r="G31" i="1"/>
  <c r="H31" i="1" s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F27" i="1" s="1"/>
  <c r="I25" i="1"/>
  <c r="I23" i="1" s="1"/>
  <c r="H25" i="1"/>
  <c r="G25" i="1"/>
  <c r="F25" i="1"/>
  <c r="I24" i="1"/>
  <c r="H24" i="1"/>
  <c r="G24" i="1"/>
  <c r="F24" i="1"/>
  <c r="H23" i="1"/>
  <c r="G23" i="1"/>
  <c r="F23" i="1"/>
  <c r="H16" i="1"/>
  <c r="F16" i="1"/>
  <c r="D16" i="1"/>
  <c r="I34" i="1" l="1"/>
  <c r="G34" i="1"/>
  <c r="H34" i="1" s="1"/>
  <c r="F421" i="1"/>
  <c r="I27" i="1"/>
  <c r="I107" i="1"/>
  <c r="I150" i="1"/>
  <c r="G421" i="1"/>
  <c r="H389" i="1"/>
  <c r="I133" i="1"/>
  <c r="F26" i="1"/>
  <c r="F44" i="1" s="1"/>
  <c r="G150" i="1"/>
  <c r="H184" i="1"/>
  <c r="H139" i="1"/>
  <c r="H135" i="1"/>
  <c r="H134" i="1" s="1"/>
  <c r="H133" i="1" s="1"/>
  <c r="G32" i="1"/>
  <c r="H129" i="1"/>
  <c r="H128" i="1" s="1"/>
  <c r="I26" i="1" l="1"/>
  <c r="I44" i="1" s="1"/>
  <c r="H150" i="1"/>
  <c r="G27" i="1"/>
  <c r="G26" i="1" s="1"/>
  <c r="G44" i="1" s="1"/>
  <c r="H32" i="1"/>
  <c r="H27" i="1" s="1"/>
  <c r="H26" i="1"/>
  <c r="H44" i="1" s="1"/>
</calcChain>
</file>

<file path=xl/sharedStrings.xml><?xml version="1.0" encoding="utf-8"?>
<sst xmlns="http://schemas.openxmlformats.org/spreadsheetml/2006/main" count="358" uniqueCount="150">
  <si>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</si>
  <si>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</si>
  <si>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</si>
  <si>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</si>
  <si>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</si>
  <si>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</si>
  <si>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</si>
  <si>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</si>
  <si>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</si>
  <si>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</si>
  <si>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</si>
  <si>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</si>
  <si>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</si>
  <si>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</si>
  <si>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</si>
  <si>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</si>
  <si>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</si>
  <si>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</si>
  <si>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</si>
  <si>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</si>
  <si>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</si>
  <si>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</si>
  <si>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</si>
  <si>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</si>
  <si>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</si>
  <si>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</si>
  <si>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</si>
  <si>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</si>
  <si>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</si>
  <si>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</si>
  <si>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</si>
  <si>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</si>
  <si>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</si>
  <si>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</si>
  <si>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</si>
  <si>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</si>
  <si>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</si>
  <si>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</si>
  <si>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</si>
  <si>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</si>
  <si>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</si>
  <si>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</si>
  <si>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</si>
  <si>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</si>
  <si>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</si>
  <si>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</si>
  <si>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</si>
  <si>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</si>
  <si>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</si>
  <si>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</si>
  <si>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</si>
  <si>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</si>
  <si>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</si>
  <si>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</si>
  <si>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</si>
  <si>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</si>
  <si>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</si>
  <si>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</si>
  <si>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</si>
  <si>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</si>
  <si>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</si>
  <si>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</si>
  <si>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</si>
  <si>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</si>
  <si>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</si>
  <si>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</si>
  <si>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</si>
  <si>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</si>
  <si>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</si>
  <si>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</si>
  <si>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</si>
  <si>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</si>
  <si>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</si>
  <si>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</si>
  <si>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</si>
  <si>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</si>
  <si>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</si>
  <si>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</si>
  <si>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</si>
  <si>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</si>
  <si>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</si>
  <si>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</si>
  <si>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</si>
  <si>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</si>
  <si>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</si>
  <si>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</si>
  <si>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</si>
  <si>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</si>
  <si>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</si>
  <si>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</si>
  <si>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</si>
  <si>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</si>
  <si>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</si>
  <si>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</si>
  <si>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</si>
  <si>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</si>
  <si>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</si>
  <si>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</si>
  <si>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</si>
  <si>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</si>
  <si>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</si>
  <si>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</si>
  <si>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</si>
  <si>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</si>
  <si>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</si>
  <si>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</si>
  <si>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</si>
  <si>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</si>
  <si>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</si>
  <si>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</si>
  <si>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</si>
  <si>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</si>
  <si>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</si>
  <si>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</si>
  <si>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</si>
  <si>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</si>
  <si>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</si>
  <si>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</si>
  <si>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</si>
  <si>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</si>
  <si>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</si>
  <si>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</si>
  <si>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</si>
  <si>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</si>
  <si>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</si>
  <si>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</si>
  <si>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</si>
  <si>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</si>
  <si>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</si>
  <si>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</si>
  <si>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</si>
  <si>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</si>
  <si>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</si>
  <si>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</si>
  <si>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</si>
  <si>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</si>
  <si>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</si>
  <si>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8 669 tonn er overført fra ubenyttet tredjelandskvoter fra Norges økonomiske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</si>
  <si>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2 370 tonn er overført fra ubenyttet tredjelandskvoter fra Norges økonomiske til norsk totalkvote</t>
    </r>
  </si>
  <si>
    <t>LANGE NORD FOR 62°N</t>
  </si>
  <si>
    <t>BROSME NORD FOR 62°N</t>
  </si>
  <si>
    <t>FANGST UKE 25</t>
  </si>
  <si>
    <t>FANGST T.O.M UKE 25</t>
  </si>
  <si>
    <t>RESTKVOTER UKE 25</t>
  </si>
  <si>
    <t>FANGST T.O.M UKE 25 2022</t>
  </si>
  <si>
    <r>
      <t xml:space="preserve">3 </t>
    </r>
    <r>
      <rPr>
        <sz val="9"/>
        <color indexed="8"/>
        <rFont val="Calibri"/>
        <family val="2"/>
      </rPr>
      <t>Registrert rekreasjonsfiske utgjør 520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</si>
  <si>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46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</si>
  <si>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329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</si>
  <si>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  664 tonn sei med konvensjonelle redskap som belastes notkvoten.</t>
    </r>
  </si>
  <si>
    <t>FANGST AV TORSK, HYSE, SEI, BLÅKVEITE, SNABELUER, LANGE, BROSME OG REKER 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</si>
</sst>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608"/>
  <sheetViews>
    <sheetView showGridLines="0" tabSelected="1" showRuler="0" view="pageLayout" zoomScale="85" zoomScaleNormal="85" zoomScaleSheetLayoutView="100" zoomScalePageLayoutView="85" workbookViewId="0">
      <selection activeCell="I10" sqref="I1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7" t="s">
        <v>149</v>
      </c>
      <c r="C2" s="298"/>
      <c r="D2" s="298"/>
      <c r="E2" s="298"/>
      <c r="F2" s="298"/>
      <c r="G2" s="298"/>
      <c r="H2" s="298"/>
      <c r="I2" s="298"/>
      <c r="J2" s="299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0"/>
      <c r="C9" s="301"/>
      <c r="D9" s="301"/>
      <c r="E9" s="301"/>
      <c r="F9" s="301"/>
      <c r="G9" s="301"/>
      <c r="H9" s="301"/>
      <c r="I9" s="301"/>
      <c r="J9" s="302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4" t="s">
        <v>1</v>
      </c>
      <c r="D11" s="295"/>
      <c r="E11" s="294" t="s">
        <v>2</v>
      </c>
      <c r="F11" s="295"/>
      <c r="G11" s="294" t="s">
        <v>3</v>
      </c>
      <c r="H11" s="295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79967</v>
      </c>
      <c r="G12" s="117" t="s">
        <v>5</v>
      </c>
      <c r="H12" s="116">
        <v>21768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169930</v>
      </c>
      <c r="G13" s="117" t="s">
        <v>8</v>
      </c>
      <c r="H13" s="119">
        <v>121832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15290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269451</v>
      </c>
      <c r="G16" s="180" t="s">
        <v>7</v>
      </c>
      <c r="H16" s="192">
        <f>SUM(H12:H15)</f>
        <v>169930</v>
      </c>
      <c r="J16" s="242"/>
    </row>
    <row r="17" spans="1:10" ht="15" customHeight="1" x14ac:dyDescent="0.25">
      <c r="A17" s="101"/>
      <c r="B17" s="24"/>
      <c r="C17" s="101" t="s">
        <v>137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141</v>
      </c>
      <c r="G22" s="68" t="s">
        <v>142</v>
      </c>
      <c r="H22" s="68" t="s">
        <v>143</v>
      </c>
      <c r="I22" s="68" t="s">
        <v>144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79967</v>
      </c>
      <c r="E23" s="28">
        <v>86827</v>
      </c>
      <c r="F23" s="28">
        <f t="shared" ref="F23:I23" si="0">F25+F24</f>
        <v>253.68</v>
      </c>
      <c r="G23" s="28">
        <f t="shared" si="0"/>
        <v>47908.919930000004</v>
      </c>
      <c r="H23" s="11">
        <f t="shared" si="0"/>
        <v>38918.080069999996</v>
      </c>
      <c r="I23" s="11">
        <f t="shared" si="0"/>
        <v>56637.959520000004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79217</v>
      </c>
      <c r="E24" s="48">
        <v>86045</v>
      </c>
      <c r="F24" s="23">
        <f>250.644</f>
        <v>250.64400000000001</v>
      </c>
      <c r="G24" s="23">
        <f>47657.02019</f>
        <v>47657.020190000003</v>
      </c>
      <c r="H24" s="23">
        <f>E24-G24</f>
        <v>38387.979809999997</v>
      </c>
      <c r="I24" s="23">
        <f>56337.75205</f>
        <v>56337.752050000003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782</v>
      </c>
      <c r="F25" s="173">
        <f>3.036</f>
        <v>3.036</v>
      </c>
      <c r="G25" s="23">
        <f>251.89974</f>
        <v>251.89974000000001</v>
      </c>
      <c r="H25" s="23">
        <f>E25-G25</f>
        <v>530.10025999999993</v>
      </c>
      <c r="I25" s="23">
        <f>300.20747</f>
        <v>300.20747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175233</v>
      </c>
      <c r="E26" s="28">
        <v>197570</v>
      </c>
      <c r="F26" s="28">
        <f t="shared" ref="F26:I26" si="1">F34+F33+F27</f>
        <v>699.34580000000005</v>
      </c>
      <c r="G26" s="11">
        <f t="shared" si="1"/>
        <v>164107.89198000001</v>
      </c>
      <c r="H26" s="11">
        <f t="shared" si="1"/>
        <v>33462.10802</v>
      </c>
      <c r="I26" s="11">
        <f t="shared" si="1"/>
        <v>199294.82090000005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136975</v>
      </c>
      <c r="E27" s="60">
        <v>152651</v>
      </c>
      <c r="F27" s="134">
        <f>F28+F29+F30+F31+F32</f>
        <v>361.54264000000001</v>
      </c>
      <c r="G27" s="134">
        <f t="shared" ref="G27:I27" si="2">G28+G29+G30+G31+G32</f>
        <v>129950.38469000001</v>
      </c>
      <c r="H27" s="134">
        <f t="shared" si="2"/>
        <v>22700.615309999997</v>
      </c>
      <c r="I27" s="134">
        <f t="shared" si="2"/>
        <v>163714.28427000003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32925</v>
      </c>
      <c r="E28" s="65">
        <v>39549</v>
      </c>
      <c r="F28" s="205">
        <f>82.86782</f>
        <v>82.867819999999995</v>
      </c>
      <c r="G28" s="129">
        <f>35883.40157 - F57</f>
        <v>35883.401570000002</v>
      </c>
      <c r="H28" s="129">
        <f t="shared" ref="H28:H40" si="3">E28-G28</f>
        <v>3665.5984299999982</v>
      </c>
      <c r="I28" s="129">
        <f>42015.65228 - H57</f>
        <v>42015.652280000002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36657</v>
      </c>
      <c r="E29" s="65">
        <v>40764</v>
      </c>
      <c r="F29" s="129">
        <f>113.13686</f>
        <v>113.13686</v>
      </c>
      <c r="G29" s="129">
        <f>36778.70996 - F58</f>
        <v>36778.70996</v>
      </c>
      <c r="H29" s="129">
        <f t="shared" si="3"/>
        <v>3985.2900399999999</v>
      </c>
      <c r="I29" s="129">
        <f>44272.8884 - H58</f>
        <v>44272.888400000003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33272</v>
      </c>
      <c r="E30" s="65">
        <v>37267</v>
      </c>
      <c r="F30" s="129">
        <f>119.70188</f>
        <v>119.70188</v>
      </c>
      <c r="G30" s="129">
        <f>34183.65434 - F59</f>
        <v>34183.654340000001</v>
      </c>
      <c r="H30" s="129">
        <f t="shared" si="3"/>
        <v>3083.345659999999</v>
      </c>
      <c r="I30" s="129">
        <f>45291.37032 - H59</f>
        <v>45291.370320000002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24281</v>
      </c>
      <c r="E31" s="65">
        <v>25407</v>
      </c>
      <c r="F31" s="129">
        <f>45.83608</f>
        <v>45.836080000000003</v>
      </c>
      <c r="G31" s="129">
        <f>23104.61882 - F60</f>
        <v>23104.61882</v>
      </c>
      <c r="H31" s="129">
        <f t="shared" si="3"/>
        <v>2302.3811800000003</v>
      </c>
      <c r="I31" s="129">
        <f>32134.37327 - H60</f>
        <v>32134.37327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9664</v>
      </c>
      <c r="F32" s="129">
        <f>E55</f>
        <v>0</v>
      </c>
      <c r="G32" s="129">
        <f>F55</f>
        <v>0</v>
      </c>
      <c r="H32" s="129">
        <f t="shared" si="3"/>
        <v>9664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21768</v>
      </c>
      <c r="E33" s="60">
        <v>23586</v>
      </c>
      <c r="F33" s="134">
        <f>122.14016</f>
        <v>122.14015999999999</v>
      </c>
      <c r="G33" s="134">
        <f>14348.18554</f>
        <v>14348.18554</v>
      </c>
      <c r="H33" s="134">
        <f t="shared" si="3"/>
        <v>9237.8144599999996</v>
      </c>
      <c r="I33" s="134">
        <f>16415.41486</f>
        <v>16415.414860000001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16490</v>
      </c>
      <c r="E34" s="60">
        <v>21333</v>
      </c>
      <c r="F34" s="134">
        <f>F35+F36</f>
        <v>215.66300000000001</v>
      </c>
      <c r="G34" s="134">
        <f>G35+G36</f>
        <v>19809.321749999999</v>
      </c>
      <c r="H34" s="134">
        <f t="shared" si="3"/>
        <v>1523.6782500000008</v>
      </c>
      <c r="I34" s="134">
        <f>I35+I36</f>
        <v>19165.121770000002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15290</v>
      </c>
      <c r="E35" s="65">
        <v>20133</v>
      </c>
      <c r="F35" s="129">
        <f>215.663</f>
        <v>215.66300000000001</v>
      </c>
      <c r="G35" s="134">
        <f>23882.32175 - F61 - F62</f>
        <v>19809.321749999999</v>
      </c>
      <c r="H35" s="129">
        <f t="shared" si="3"/>
        <v>323.67825000000084</v>
      </c>
      <c r="I35" s="129">
        <f>20626.12177 - H61 - H62</f>
        <v>19165.121770000002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329.8284</f>
        <v>329.82839999999999</v>
      </c>
      <c r="H37" s="141">
        <f t="shared" si="3"/>
        <v>2670.1716000000001</v>
      </c>
      <c r="I37" s="141">
        <f>333.80295</f>
        <v>333.80295000000001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2.1</f>
        <v>2.1</v>
      </c>
      <c r="G38" s="100">
        <f>486.26274</f>
        <v>486.26274000000001</v>
      </c>
      <c r="H38" s="100">
        <f t="shared" si="3"/>
        <v>364.73725999999999</v>
      </c>
      <c r="I38" s="100">
        <f>448.09141</f>
        <v>448.09141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3048</v>
      </c>
      <c r="F39" s="100">
        <f>E61</f>
        <v>86</v>
      </c>
      <c r="G39" s="100">
        <f>F61</f>
        <v>4073</v>
      </c>
      <c r="H39" s="100">
        <f t="shared" si="3"/>
        <v>-1025</v>
      </c>
      <c r="I39" s="100">
        <f>H61</f>
        <v>1461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17.01876</f>
        <v>17.01876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269451</v>
      </c>
      <c r="E44" s="78">
        <f t="shared" si="4"/>
        <v>298696</v>
      </c>
      <c r="F44" s="78">
        <f t="shared" si="4"/>
        <v>1058.1475600000001</v>
      </c>
      <c r="G44" s="78">
        <f t="shared" si="4"/>
        <v>223985.46405000004</v>
      </c>
      <c r="H44" s="78">
        <f t="shared" si="4"/>
        <v>74710.535949999961</v>
      </c>
      <c r="I44" s="78">
        <f t="shared" si="4"/>
        <v>265296.61321000004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145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0" t="s">
        <v>44</v>
      </c>
      <c r="D52" s="290"/>
      <c r="E52" s="290"/>
      <c r="F52" s="290"/>
      <c r="G52" s="290"/>
      <c r="H52" s="290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141</v>
      </c>
      <c r="F54" s="68" t="s">
        <v>142</v>
      </c>
      <c r="G54" s="68" t="s">
        <v>143</v>
      </c>
      <c r="H54" s="68" t="s">
        <v>144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1">
        <v>9840</v>
      </c>
      <c r="E55" s="11">
        <f>E59+E58+E57+E56</f>
        <v>0</v>
      </c>
      <c r="F55" s="11">
        <f>F59+F58+F57+F56</f>
        <v>0</v>
      </c>
      <c r="G55" s="291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292"/>
      <c r="E56" s="129"/>
      <c r="F56" s="129"/>
      <c r="G56" s="292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292"/>
      <c r="E57" s="129"/>
      <c r="F57" s="129"/>
      <c r="G57" s="292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292"/>
      <c r="E58" s="129"/>
      <c r="F58" s="129"/>
      <c r="G58" s="292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293"/>
      <c r="E59" s="194"/>
      <c r="F59" s="194"/>
      <c r="G59" s="293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>
        <v>0</v>
      </c>
      <c r="F60" s="97">
        <v>0</v>
      </c>
      <c r="G60" s="97">
        <f>D60-F60</f>
        <v>1200</v>
      </c>
      <c r="H60" s="97">
        <v>0</v>
      </c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>
        <v>86</v>
      </c>
      <c r="F61" s="141">
        <v>4073</v>
      </c>
      <c r="G61" s="141">
        <f>D61-F61</f>
        <v>-1073</v>
      </c>
      <c r="H61" s="141">
        <v>1461</v>
      </c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4" t="s">
        <v>1</v>
      </c>
      <c r="D81" s="295"/>
      <c r="E81" s="294" t="s">
        <v>2</v>
      </c>
      <c r="F81" s="296"/>
      <c r="G81" s="294" t="s">
        <v>3</v>
      </c>
      <c r="H81" s="295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32035</v>
      </c>
      <c r="G82" s="193" t="s">
        <v>5</v>
      </c>
      <c r="H82" s="116">
        <v>9408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52267</v>
      </c>
      <c r="G83" s="193" t="s">
        <v>8</v>
      </c>
      <c r="H83" s="119">
        <v>38678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4181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86556</v>
      </c>
      <c r="G85" s="180" t="s">
        <v>7</v>
      </c>
      <c r="H85" s="192">
        <f>SUM(H82:H84)</f>
        <v>52267</v>
      </c>
      <c r="I85" s="181"/>
      <c r="J85" s="242"/>
    </row>
    <row r="86" spans="1:10" ht="14.25" customHeight="1" x14ac:dyDescent="0.25">
      <c r="A86" s="1"/>
      <c r="B86" s="252"/>
      <c r="C86" s="101" t="s">
        <v>138</v>
      </c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141</v>
      </c>
      <c r="G91" s="15" t="s">
        <v>142</v>
      </c>
      <c r="H91" s="15" t="s">
        <v>143</v>
      </c>
      <c r="I91" s="15" t="s">
        <v>144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32035</v>
      </c>
      <c r="E92" s="28">
        <f>E93+E94</f>
        <v>34799</v>
      </c>
      <c r="F92" s="11">
        <f t="shared" ref="F92:I92" si="5">F94+F93</f>
        <v>13.686400000000001</v>
      </c>
      <c r="G92" s="11">
        <f t="shared" si="5"/>
        <v>38653.616520000003</v>
      </c>
      <c r="H92" s="11">
        <f t="shared" si="5"/>
        <v>-3854.6165200000023</v>
      </c>
      <c r="I92" s="11">
        <f t="shared" si="5"/>
        <v>34809.056790000002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31285</v>
      </c>
      <c r="E93" s="48">
        <v>33987</v>
      </c>
      <c r="F93" s="23">
        <f>13.6864</f>
        <v>13.686400000000001</v>
      </c>
      <c r="G93" s="23">
        <f>38159.63758</f>
        <v>38159.637580000002</v>
      </c>
      <c r="H93" s="23">
        <f>E93-G93</f>
        <v>-4172.6375800000023</v>
      </c>
      <c r="I93" s="23">
        <f>34159.52812</f>
        <v>34159.528120000003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812</v>
      </c>
      <c r="F94" s="52">
        <f>0</f>
        <v>0</v>
      </c>
      <c r="G94" s="52">
        <f>493.97894</f>
        <v>493.97894000000002</v>
      </c>
      <c r="H94" s="52">
        <f>E94-G94</f>
        <v>318.02105999999998</v>
      </c>
      <c r="I94" s="52">
        <f>649.52867</f>
        <v>649.52867000000003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f>D96+D101+D102</f>
        <v>53851</v>
      </c>
      <c r="E95" s="28">
        <f t="shared" ref="E95:I95" si="6">E96+E101+E102</f>
        <v>59500</v>
      </c>
      <c r="F95" s="11">
        <f t="shared" si="6"/>
        <v>983.35640999999998</v>
      </c>
      <c r="G95" s="11">
        <f t="shared" si="6"/>
        <v>21367.87529</v>
      </c>
      <c r="H95" s="11">
        <f t="shared" si="6"/>
        <v>38132.124709999996</v>
      </c>
      <c r="I95" s="11">
        <f t="shared" si="6"/>
        <v>25820.268950000001</v>
      </c>
      <c r="J95" s="242"/>
    </row>
    <row r="96" spans="1:10" ht="14.1" customHeight="1" x14ac:dyDescent="0.25">
      <c r="A96" s="1"/>
      <c r="B96" s="55"/>
      <c r="C96" s="59" t="s">
        <v>23</v>
      </c>
      <c r="D96" s="60">
        <f>D97+D98+D99+D100</f>
        <v>40262</v>
      </c>
      <c r="E96" s="60">
        <f t="shared" ref="E96:I96" si="7">E97+E98+E99+E100</f>
        <v>44491</v>
      </c>
      <c r="F96" s="134">
        <f t="shared" si="7"/>
        <v>869.98783000000003</v>
      </c>
      <c r="G96" s="134">
        <f t="shared" si="7"/>
        <v>15043.0561</v>
      </c>
      <c r="H96" s="134">
        <f t="shared" si="7"/>
        <v>29447.943900000002</v>
      </c>
      <c r="I96" s="134">
        <f t="shared" si="7"/>
        <v>20176.508229999999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10751</v>
      </c>
      <c r="E97" s="65">
        <v>11883.7</v>
      </c>
      <c r="F97" s="129">
        <f>44.47338</f>
        <v>44.473379999999999</v>
      </c>
      <c r="G97" s="129">
        <f>2351.31628</f>
        <v>2351.31628</v>
      </c>
      <c r="H97" s="129">
        <f t="shared" ref="H97:H104" si="8">E97-G97</f>
        <v>9532.3837200000016</v>
      </c>
      <c r="I97" s="129">
        <f>2499.94394</f>
        <v>2499.9439400000001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11448</v>
      </c>
      <c r="E98" s="65">
        <v>12665.1</v>
      </c>
      <c r="F98" s="129">
        <f>259.48193</f>
        <v>259.48192999999998</v>
      </c>
      <c r="G98" s="129">
        <f>4830.63847</f>
        <v>4830.6384699999999</v>
      </c>
      <c r="H98" s="129">
        <f t="shared" si="8"/>
        <v>7834.4615300000005</v>
      </c>
      <c r="I98" s="129">
        <f>6794.78635</f>
        <v>6794.7863500000003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10830</v>
      </c>
      <c r="E99" s="65">
        <v>11965.6</v>
      </c>
      <c r="F99" s="129">
        <f>306.06308</f>
        <v>306.06308000000001</v>
      </c>
      <c r="G99" s="129">
        <f>4146.23274</f>
        <v>4146.2327400000004</v>
      </c>
      <c r="H99" s="129">
        <f t="shared" si="8"/>
        <v>7819.36726</v>
      </c>
      <c r="I99" s="129">
        <f>5748.08422</f>
        <v>5748.0842199999997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7233</v>
      </c>
      <c r="E100" s="65">
        <v>7976.6</v>
      </c>
      <c r="F100" s="129">
        <f>259.96944</f>
        <v>259.96944000000002</v>
      </c>
      <c r="G100" s="129">
        <f>3714.86861</f>
        <v>3714.86861</v>
      </c>
      <c r="H100" s="129">
        <f t="shared" si="8"/>
        <v>4261.7313900000008</v>
      </c>
      <c r="I100" s="129">
        <f>5133.69372</f>
        <v>5133.6937200000002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9408</v>
      </c>
      <c r="E101" s="60">
        <v>10391</v>
      </c>
      <c r="F101" s="134">
        <f>74.67428</f>
        <v>74.674279999999996</v>
      </c>
      <c r="G101" s="134">
        <f>5144.6063</f>
        <v>5144.6063000000004</v>
      </c>
      <c r="H101" s="134">
        <f t="shared" si="8"/>
        <v>5246.3936999999996</v>
      </c>
      <c r="I101" s="134">
        <f>4672.57298</f>
        <v>4672.5729799999999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4181</v>
      </c>
      <c r="E102" s="63">
        <v>4618</v>
      </c>
      <c r="F102" s="77">
        <f>38.6943</f>
        <v>38.694299999999998</v>
      </c>
      <c r="G102" s="77">
        <f>1180.21289</f>
        <v>1180.21289</v>
      </c>
      <c r="H102" s="77">
        <f t="shared" si="8"/>
        <v>3437.7871100000002</v>
      </c>
      <c r="I102" s="77">
        <f>971.18774</f>
        <v>971.18773999999996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</f>
        <v>0</v>
      </c>
      <c r="G103" s="100">
        <f>11.24867</f>
        <v>11.248670000000001</v>
      </c>
      <c r="H103" s="100">
        <f t="shared" si="8"/>
        <v>308.75133</v>
      </c>
      <c r="I103" s="100">
        <f>21.99483</f>
        <v>21.99483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3.85423</f>
        <v>3.8542299999999998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86556</v>
      </c>
      <c r="E107" s="78">
        <f t="shared" ref="E107:I107" si="9">E92+E95+E103+E104+E105+E106</f>
        <v>94969</v>
      </c>
      <c r="F107" s="78">
        <f t="shared" si="9"/>
        <v>1000.8970400000001</v>
      </c>
      <c r="G107" s="78">
        <f t="shared" si="9"/>
        <v>60341.508279999995</v>
      </c>
      <c r="H107" s="78">
        <f t="shared" si="9"/>
        <v>34627.491720000005</v>
      </c>
      <c r="I107" s="78">
        <f t="shared" si="9"/>
        <v>60995.055350000002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146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141</v>
      </c>
      <c r="G127" s="15" t="s">
        <v>142</v>
      </c>
      <c r="H127" s="15" t="s">
        <v>143</v>
      </c>
      <c r="I127" s="15" t="s">
        <v>144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70541</v>
      </c>
      <c r="F128" s="11">
        <f t="shared" si="10"/>
        <v>196.15635</v>
      </c>
      <c r="G128" s="11">
        <f t="shared" si="10"/>
        <v>37431.348819999999</v>
      </c>
      <c r="H128" s="11">
        <f t="shared" si="10"/>
        <v>33109.651180000001</v>
      </c>
      <c r="I128" s="11">
        <f t="shared" si="10"/>
        <v>36560.845439999997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56092</v>
      </c>
      <c r="F129" s="23">
        <f>196.15635</f>
        <v>196.15635</v>
      </c>
      <c r="G129" s="23">
        <f>32881.68044</f>
        <v>32881.680439999996</v>
      </c>
      <c r="H129" s="23">
        <f>E129-G129</f>
        <v>23210.319560000004</v>
      </c>
      <c r="I129" s="23">
        <f>30822.73978</f>
        <v>30822.73978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13949</v>
      </c>
      <c r="F130" s="23">
        <f>0</f>
        <v>0</v>
      </c>
      <c r="G130" s="23">
        <f>4549.66838</f>
        <v>4549.6683800000001</v>
      </c>
      <c r="H130" s="23">
        <f>E130-G130</f>
        <v>9399.3316200000008</v>
      </c>
      <c r="I130" s="23">
        <f>5738.10566</f>
        <v>5738.1056600000002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49172</v>
      </c>
      <c r="F132" s="97">
        <f>4543.4303</f>
        <v>4543.4303</v>
      </c>
      <c r="G132" s="97">
        <f>22085.43409+1664.182225</f>
        <v>23749.616314999999</v>
      </c>
      <c r="H132" s="97">
        <f>E132-G132</f>
        <v>25422.383685000001</v>
      </c>
      <c r="I132" s="97">
        <f>21868.15002</f>
        <v>21868.150020000001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80940</v>
      </c>
      <c r="F133" s="96">
        <f>F134+F139+F142</f>
        <v>710.90877999999998</v>
      </c>
      <c r="G133" s="96">
        <f t="shared" ref="G133" si="11">G134+G139+G142</f>
        <v>45446.295395000001</v>
      </c>
      <c r="H133" s="96">
        <f>H134+H139+H142</f>
        <v>35493.704604999999</v>
      </c>
      <c r="I133" s="96">
        <f>I134+I139+I142</f>
        <v>43301.034150000007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59504</v>
      </c>
      <c r="F134" s="127">
        <f>F135+F136+F137+F138</f>
        <v>478.08532000000002</v>
      </c>
      <c r="G134" s="127">
        <f>G135+G136+G138+G137</f>
        <v>35196.522884999998</v>
      </c>
      <c r="H134" s="127">
        <f>H135+H136+H137+H138</f>
        <v>24307.477115000002</v>
      </c>
      <c r="I134" s="127">
        <f>I135+I136+I137+I138</f>
        <v>33804.939460000001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17504</v>
      </c>
      <c r="F135" s="129">
        <f>132.18124</f>
        <v>132.18124</v>
      </c>
      <c r="G135" s="129">
        <v>5938.04799</v>
      </c>
      <c r="H135" s="129">
        <f>E135-G135</f>
        <v>11565.952010000001</v>
      </c>
      <c r="I135" s="129">
        <f>4914.15138</f>
        <v>4914.1513800000002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15084</v>
      </c>
      <c r="F136" s="129">
        <f>36.80531</f>
        <v>36.805309999999999</v>
      </c>
      <c r="G136" s="129">
        <v>10124.54437</v>
      </c>
      <c r="H136" s="129">
        <f>E136-G136</f>
        <v>4959.4556300000004</v>
      </c>
      <c r="I136" s="129">
        <f>8112.01372</f>
        <v>8112.0137199999999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15023</v>
      </c>
      <c r="F137" s="129">
        <f>242.94017</f>
        <v>242.94016999999999</v>
      </c>
      <c r="G137" s="129">
        <v>9907.8952300000001</v>
      </c>
      <c r="H137" s="129">
        <f>E137-G137</f>
        <v>5115.1047699999999</v>
      </c>
      <c r="I137" s="129">
        <f>10487.14449</f>
        <v>10487.144490000001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11893</v>
      </c>
      <c r="F138" s="129">
        <f>66.1586</f>
        <v>66.158600000000007</v>
      </c>
      <c r="G138" s="129">
        <v>9226.0352949999997</v>
      </c>
      <c r="H138" s="129">
        <f>E138-G138</f>
        <v>2666.9647050000003</v>
      </c>
      <c r="I138" s="129">
        <f>10291.62987</f>
        <v>10291.629870000001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9432</v>
      </c>
      <c r="F139" s="134">
        <f>SUM(F140:F141)</f>
        <v>5.5049999999999999</v>
      </c>
      <c r="G139" s="134">
        <f>SUM(G140:G141)</f>
        <v>6466.7301100000004</v>
      </c>
      <c r="H139" s="134">
        <f>H140+H141</f>
        <v>2965.2698899999996</v>
      </c>
      <c r="I139" s="134">
        <f>SUM(I140:I141)</f>
        <v>5895.7582600000005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8932</v>
      </c>
      <c r="F140" s="129">
        <f>0</f>
        <v>0</v>
      </c>
      <c r="G140" s="129">
        <f>6328.51893</f>
        <v>6328.5189300000002</v>
      </c>
      <c r="H140" s="129">
        <f t="shared" ref="H140:H147" si="12">E140-G140</f>
        <v>2603.4810699999998</v>
      </c>
      <c r="I140" s="129">
        <f>5779.14662</f>
        <v>5779.1466200000004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5.505</f>
        <v>5.5049999999999999</v>
      </c>
      <c r="G141" s="129">
        <f>138.21118</f>
        <v>138.21118000000001</v>
      </c>
      <c r="H141" s="129">
        <f t="shared" si="12"/>
        <v>361.78881999999999</v>
      </c>
      <c r="I141" s="129">
        <f>116.61164</f>
        <v>116.61163999999999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12004</v>
      </c>
      <c r="F142" s="77">
        <f>227.31846</f>
        <v>227.31845999999999</v>
      </c>
      <c r="G142" s="77">
        <f>3783.0424</f>
        <v>3783.0423999999998</v>
      </c>
      <c r="H142" s="77">
        <f t="shared" si="12"/>
        <v>8220.9575999999997</v>
      </c>
      <c r="I142" s="77">
        <f>3600.33643</f>
        <v>3600.3364299999998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</f>
        <v>0</v>
      </c>
      <c r="G143" s="141">
        <f>30.361</f>
        <v>30.361000000000001</v>
      </c>
      <c r="H143" s="141">
        <f t="shared" si="12"/>
        <v>106.639</v>
      </c>
      <c r="I143" s="141">
        <f>21.55052</f>
        <v>21.550519999999999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262.581</f>
        <v>262.58100000000002</v>
      </c>
      <c r="H144" s="100">
        <f t="shared" si="12"/>
        <v>-12.581000000000017</v>
      </c>
      <c r="I144" s="100">
        <f>306.976</f>
        <v>306.976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37.16566</f>
        <v>37.165660000000003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203235</v>
      </c>
      <c r="F150" s="78">
        <f>F128+F132+F133+F143+F144+F145+F146+F147+F148</f>
        <v>5487.6610899999996</v>
      </c>
      <c r="G150" s="78">
        <f>G128+G132+G133+G143+G144+G145+G146+G147+G148</f>
        <v>108920.20253000001</v>
      </c>
      <c r="H150" s="78">
        <f>H128+H132+H133+H143+H144+H145+H146+H147+H148</f>
        <v>94314.79746999999</v>
      </c>
      <c r="I150" s="78">
        <f>I128+I132+I133+I143+I144+I145+I146+I147+I148</f>
        <v>104058.55613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148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147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141</v>
      </c>
      <c r="F174" s="15" t="s">
        <v>142</v>
      </c>
      <c r="G174" s="56" t="s">
        <v>143</v>
      </c>
      <c r="H174" s="15" t="s">
        <v>144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31.87152</f>
        <v>31.87152</v>
      </c>
      <c r="F175" s="274">
        <f>959.07982</f>
        <v>959.07982000000004</v>
      </c>
      <c r="G175" s="45">
        <f>D175-F175-F176</f>
        <v>2923.0854100000001</v>
      </c>
      <c r="H175" s="274">
        <f>627.85527</f>
        <v>627.85527000000002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145.67178</f>
        <v>145.67178000000001</v>
      </c>
      <c r="F176" s="154">
        <f>1105.83477</f>
        <v>1105.8347699999999</v>
      </c>
      <c r="G176" s="215"/>
      <c r="H176" s="154">
        <f>1051.43886</f>
        <v>1051.43886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55.41002</f>
        <v>55.410020000000003</v>
      </c>
      <c r="G177" s="174">
        <f>D177-F177</f>
        <v>144.58998</v>
      </c>
      <c r="H177" s="174">
        <f>48.95794</f>
        <v>48.957940000000001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8.368920000000001</v>
      </c>
      <c r="F178" s="183">
        <f>F179+F180+F181</f>
        <v>4805.6090100000001</v>
      </c>
      <c r="G178" s="183">
        <f>D178-F178</f>
        <v>2675.3909899999999</v>
      </c>
      <c r="H178" s="183">
        <f>H179+H180+H181</f>
        <v>5056.2907999999998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2.3628</f>
        <v>2.3628</v>
      </c>
      <c r="F179" s="129">
        <f>2239.47855</f>
        <v>2239.4785499999998</v>
      </c>
      <c r="G179" s="129"/>
      <c r="H179" s="129">
        <f>2555.19702</f>
        <v>2555.1970200000001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3.10584</f>
        <v>3.1058400000000002</v>
      </c>
      <c r="F180" s="129">
        <f>1580.02628</f>
        <v>1580.02628</v>
      </c>
      <c r="G180" s="129"/>
      <c r="H180" s="129">
        <f>1530.86667</f>
        <v>1530.8666700000001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2.90028</f>
        <v>2.90028</v>
      </c>
      <c r="F181" s="194">
        <f>986.10418</f>
        <v>986.10418000000004</v>
      </c>
      <c r="G181" s="194"/>
      <c r="H181" s="194">
        <f>970.22711</f>
        <v>970.22711000000004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185.91222000000002</v>
      </c>
      <c r="F184" s="196">
        <f>F175+F176+F177+F178+F182+F183</f>
        <v>6925.9336199999998</v>
      </c>
      <c r="G184" s="196">
        <f>D184-F184</f>
        <v>5809.0663800000002</v>
      </c>
      <c r="H184" s="196">
        <f>H175+H176+H177+H178+H182+H183</f>
        <v>6784.5428699999993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141</v>
      </c>
      <c r="F203" s="68" t="s">
        <v>142</v>
      </c>
      <c r="G203" s="68" t="s">
        <v>143</v>
      </c>
      <c r="H203" s="68" t="s">
        <v>144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818.43171</f>
        <v>818.43170999999995</v>
      </c>
      <c r="F204" s="124">
        <f>35736.91363</f>
        <v>35736.913630000003</v>
      </c>
      <c r="G204" s="124">
        <f>D204-F204</f>
        <v>8102.0863699999973</v>
      </c>
      <c r="H204" s="124">
        <f>23943.65991</f>
        <v>23943.659909999998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0.142</f>
        <v>0.14199999999999999</v>
      </c>
      <c r="F205" s="124">
        <f>16.60875</f>
        <v>16.608750000000001</v>
      </c>
      <c r="G205" s="124">
        <f>D205-F205</f>
        <v>83.391249999999999</v>
      </c>
      <c r="H205" s="124">
        <f>21.48955</f>
        <v>21.489550000000001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818.57371000000001</v>
      </c>
      <c r="F207" s="190">
        <f>SUM(F204:F206)</f>
        <v>35753.522380000002</v>
      </c>
      <c r="G207" s="190">
        <f>D207-F207</f>
        <v>8227.4776199999978</v>
      </c>
      <c r="H207" s="190">
        <f>SUM(H204:H206)</f>
        <v>23965.149459999997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21.75" customHeight="1" x14ac:dyDescent="0.35">
      <c r="A243" s="152"/>
      <c r="B243" s="1"/>
      <c r="C243" s="213" t="s">
        <v>139</v>
      </c>
      <c r="D243" s="172"/>
      <c r="E243" s="172"/>
      <c r="F243" s="172"/>
      <c r="G243" s="172"/>
      <c r="H243" s="1"/>
      <c r="I243" s="1"/>
      <c r="J243" s="1"/>
    </row>
    <row r="244" spans="1:10" ht="21.75" customHeight="1" x14ac:dyDescent="0.35">
      <c r="A244" s="152" t="s">
        <v>120</v>
      </c>
      <c r="B244" s="1"/>
      <c r="C244" s="213"/>
      <c r="D244" s="172"/>
      <c r="E244" s="172"/>
      <c r="F244" s="172"/>
      <c r="G244" s="172"/>
      <c r="H244" s="1"/>
      <c r="I244" s="1"/>
      <c r="J244" s="1"/>
    </row>
    <row r="245" spans="1:10" ht="12" customHeight="1" x14ac:dyDescent="0.25">
      <c r="A245" s="152"/>
      <c r="B245" s="140"/>
      <c r="C245" s="224"/>
      <c r="D245" s="235"/>
      <c r="E245" s="235"/>
      <c r="F245" s="235"/>
      <c r="G245" s="235"/>
      <c r="H245" s="156"/>
      <c r="I245" s="156"/>
      <c r="J245" s="164"/>
    </row>
    <row r="246" spans="1:10" ht="23.25" customHeight="1" x14ac:dyDescent="0.25">
      <c r="A246" s="1"/>
      <c r="B246" s="252"/>
      <c r="C246" s="18" t="s">
        <v>15</v>
      </c>
      <c r="D246" s="172"/>
      <c r="E246" s="172"/>
      <c r="F246" s="172"/>
      <c r="G246" s="1"/>
      <c r="H246" s="1"/>
      <c r="I246" s="1"/>
      <c r="J246" s="122"/>
    </row>
    <row r="247" spans="1:10" ht="15" customHeight="1" x14ac:dyDescent="0.25">
      <c r="A247" s="1"/>
      <c r="B247" s="252"/>
      <c r="C247" s="101"/>
      <c r="D247" s="172"/>
      <c r="E247" s="172"/>
      <c r="F247" s="172"/>
      <c r="G247" s="172"/>
      <c r="H247" s="1"/>
      <c r="I247" s="1"/>
      <c r="J247" s="122"/>
    </row>
    <row r="248" spans="1:10" ht="48.75" customHeight="1" x14ac:dyDescent="0.25">
      <c r="A248" s="1"/>
      <c r="B248" s="252"/>
      <c r="C248" s="68" t="s">
        <v>16</v>
      </c>
      <c r="D248" s="79" t="s">
        <v>2</v>
      </c>
      <c r="E248" s="68" t="s">
        <v>141</v>
      </c>
      <c r="F248" s="68" t="s">
        <v>142</v>
      </c>
      <c r="G248" s="68" t="s">
        <v>143</v>
      </c>
      <c r="H248" s="68" t="s">
        <v>144</v>
      </c>
      <c r="I248" s="1"/>
      <c r="J248" s="122"/>
    </row>
    <row r="249" spans="1:10" ht="15" customHeight="1" x14ac:dyDescent="0.25">
      <c r="A249" s="1"/>
      <c r="B249" s="252"/>
      <c r="C249" s="90" t="s">
        <v>8</v>
      </c>
      <c r="D249" s="124"/>
      <c r="E249" s="77">
        <f>0</f>
        <v>0</v>
      </c>
      <c r="F249" s="77">
        <f>198.31024</f>
        <v>198.31023999999999</v>
      </c>
      <c r="G249" s="77"/>
      <c r="H249" s="77">
        <f>127.87428</f>
        <v>127.87428</v>
      </c>
      <c r="I249" s="246"/>
      <c r="J249" s="122"/>
    </row>
    <row r="250" spans="1:10" ht="15" customHeight="1" x14ac:dyDescent="0.25">
      <c r="A250" s="1"/>
      <c r="B250" s="252"/>
      <c r="C250" s="90" t="s">
        <v>11</v>
      </c>
      <c r="D250" s="124"/>
      <c r="E250" s="77">
        <f>129.60094</f>
        <v>129.60094000000001</v>
      </c>
      <c r="F250" s="77">
        <f>4299.3782</f>
        <v>4299.3782000000001</v>
      </c>
      <c r="G250" s="77"/>
      <c r="H250" s="77">
        <f>3691.68157</f>
        <v>3691.6815700000002</v>
      </c>
      <c r="I250" s="246"/>
      <c r="J250" s="122"/>
    </row>
    <row r="251" spans="1:10" ht="15.75" customHeight="1" x14ac:dyDescent="0.25">
      <c r="A251" s="1"/>
      <c r="B251" s="252"/>
      <c r="C251" s="146" t="s">
        <v>68</v>
      </c>
      <c r="D251" s="168"/>
      <c r="E251" s="124">
        <f>29.8745</f>
        <v>29.874500000000001</v>
      </c>
      <c r="F251" s="124">
        <f>1637.53881</f>
        <v>1637.53881</v>
      </c>
      <c r="G251" s="168"/>
      <c r="H251" s="124">
        <f>1092.00878</f>
        <v>1092.0087799999999</v>
      </c>
      <c r="I251" s="246"/>
      <c r="J251" s="122"/>
    </row>
    <row r="252" spans="1:10" ht="16.5" customHeight="1" x14ac:dyDescent="0.25">
      <c r="A252" s="1"/>
      <c r="B252" s="252"/>
      <c r="C252" s="179" t="s">
        <v>88</v>
      </c>
      <c r="D252" s="190">
        <v>10454</v>
      </c>
      <c r="E252" s="190">
        <f>SUM(E249:E251)</f>
        <v>159.47544000000002</v>
      </c>
      <c r="F252" s="190">
        <f>SUM(F249:F251)</f>
        <v>6135.2272499999999</v>
      </c>
      <c r="G252" s="190">
        <f>D252-F252</f>
        <v>4318.7727500000001</v>
      </c>
      <c r="H252" s="190">
        <f>SUM(H249:H251)</f>
        <v>4911.5646299999999</v>
      </c>
      <c r="I252" s="246"/>
      <c r="J252" s="122"/>
    </row>
    <row r="253" spans="1:10" ht="17.100000000000001" customHeight="1" x14ac:dyDescent="0.25">
      <c r="A253" s="1"/>
      <c r="B253" s="166"/>
      <c r="C253" s="201"/>
      <c r="D253" s="109"/>
      <c r="E253" s="109"/>
      <c r="F253" s="212"/>
      <c r="G253" s="212"/>
      <c r="H253" s="212"/>
      <c r="I253" s="212"/>
      <c r="J253" s="214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00000000000001" customHeight="1" x14ac:dyDescent="0.25">
      <c r="A287" s="1" t="s">
        <v>120</v>
      </c>
      <c r="B287" s="1"/>
      <c r="C287" s="1"/>
      <c r="D287" s="1"/>
      <c r="E287" s="1"/>
      <c r="F287" s="1"/>
      <c r="G287" s="1"/>
      <c r="H287" s="1"/>
      <c r="I287" s="1"/>
      <c r="J287" s="216"/>
    </row>
    <row r="288" spans="1:10" ht="21.75" customHeight="1" x14ac:dyDescent="0.35">
      <c r="A288" s="152"/>
      <c r="B288" s="1"/>
      <c r="C288" s="213" t="s">
        <v>140</v>
      </c>
      <c r="D288" s="172"/>
      <c r="E288" s="172"/>
      <c r="F288" s="172"/>
      <c r="G288" s="172"/>
      <c r="H288" s="1"/>
      <c r="I288" s="1"/>
      <c r="J288" s="1"/>
    </row>
    <row r="289" spans="1:10" ht="21.75" customHeight="1" x14ac:dyDescent="0.35">
      <c r="A289" s="152" t="s">
        <v>120</v>
      </c>
      <c r="B289" s="1"/>
      <c r="C289" s="213"/>
      <c r="D289" s="172"/>
      <c r="E289" s="172"/>
      <c r="F289" s="172"/>
      <c r="G289" s="172"/>
      <c r="H289" s="1"/>
      <c r="I289" s="1"/>
      <c r="J289" s="1"/>
    </row>
    <row r="290" spans="1:10" ht="12" customHeight="1" x14ac:dyDescent="0.25">
      <c r="A290" s="152"/>
      <c r="B290" s="140"/>
      <c r="C290" s="224"/>
      <c r="D290" s="235"/>
      <c r="E290" s="235"/>
      <c r="F290" s="235"/>
      <c r="G290" s="235"/>
      <c r="H290" s="156"/>
      <c r="I290" s="156"/>
      <c r="J290" s="164"/>
    </row>
    <row r="291" spans="1:10" ht="23.25" customHeight="1" x14ac:dyDescent="0.25">
      <c r="A291" s="1"/>
      <c r="B291" s="252"/>
      <c r="C291" s="18" t="s">
        <v>15</v>
      </c>
      <c r="D291" s="172"/>
      <c r="E291" s="172"/>
      <c r="F291" s="172"/>
      <c r="G291" s="1"/>
      <c r="H291" s="1"/>
      <c r="I291" s="1"/>
      <c r="J291" s="122"/>
    </row>
    <row r="292" spans="1:10" ht="15" customHeight="1" x14ac:dyDescent="0.25">
      <c r="A292" s="1"/>
      <c r="B292" s="252"/>
      <c r="C292" s="101"/>
      <c r="D292" s="172"/>
      <c r="E292" s="172"/>
      <c r="F292" s="172"/>
      <c r="G292" s="172"/>
      <c r="H292" s="1"/>
      <c r="I292" s="1"/>
      <c r="J292" s="122"/>
    </row>
    <row r="293" spans="1:10" ht="48.75" customHeight="1" x14ac:dyDescent="0.25">
      <c r="A293" s="1"/>
      <c r="B293" s="252"/>
      <c r="C293" s="68" t="s">
        <v>16</v>
      </c>
      <c r="D293" s="79" t="s">
        <v>2</v>
      </c>
      <c r="E293" s="68" t="s">
        <v>141</v>
      </c>
      <c r="F293" s="68" t="s">
        <v>142</v>
      </c>
      <c r="G293" s="68" t="s">
        <v>143</v>
      </c>
      <c r="H293" s="68" t="s">
        <v>144</v>
      </c>
      <c r="I293" s="1"/>
      <c r="J293" s="122"/>
    </row>
    <row r="294" spans="1:10" ht="15" customHeight="1" x14ac:dyDescent="0.25">
      <c r="A294" s="1"/>
      <c r="B294" s="252"/>
      <c r="C294" s="90" t="s">
        <v>8</v>
      </c>
      <c r="D294" s="124"/>
      <c r="E294" s="77">
        <f>0</f>
        <v>0</v>
      </c>
      <c r="F294" s="77">
        <f>212.5564</f>
        <v>212.5564</v>
      </c>
      <c r="G294" s="77"/>
      <c r="H294" s="77">
        <f>154.0154</f>
        <v>154.0154</v>
      </c>
      <c r="I294" s="246"/>
      <c r="J294" s="122"/>
    </row>
    <row r="295" spans="1:10" ht="15" customHeight="1" x14ac:dyDescent="0.25">
      <c r="A295" s="1"/>
      <c r="B295" s="252"/>
      <c r="C295" s="90" t="s">
        <v>11</v>
      </c>
      <c r="D295" s="124"/>
      <c r="E295" s="77">
        <f>93.06266</f>
        <v>93.062659999999994</v>
      </c>
      <c r="F295" s="77">
        <f>2100.36448</f>
        <v>2100.3644800000002</v>
      </c>
      <c r="G295" s="77"/>
      <c r="H295" s="77">
        <f>1529.94374</f>
        <v>1529.9437399999999</v>
      </c>
      <c r="I295" s="246"/>
      <c r="J295" s="122"/>
    </row>
    <row r="296" spans="1:10" ht="15.75" customHeight="1" x14ac:dyDescent="0.25">
      <c r="A296" s="1"/>
      <c r="B296" s="252"/>
      <c r="C296" s="146" t="s">
        <v>68</v>
      </c>
      <c r="D296" s="168"/>
      <c r="E296" s="124">
        <f>110.21438</f>
        <v>110.21438000000001</v>
      </c>
      <c r="F296" s="124">
        <f>2002.41568</f>
        <v>2002.4156800000001</v>
      </c>
      <c r="G296" s="168"/>
      <c r="H296" s="124">
        <f>1308.54585</f>
        <v>1308.54585</v>
      </c>
      <c r="I296" s="246"/>
      <c r="J296" s="122"/>
    </row>
    <row r="297" spans="1:10" ht="16.5" customHeight="1" x14ac:dyDescent="0.25">
      <c r="A297" s="1"/>
      <c r="B297" s="252"/>
      <c r="C297" s="179" t="s">
        <v>88</v>
      </c>
      <c r="D297" s="190">
        <v>8076</v>
      </c>
      <c r="E297" s="190">
        <f>SUM(E294:E296)</f>
        <v>203.27704</v>
      </c>
      <c r="F297" s="190">
        <f>SUM(F294:F296)</f>
        <v>4315.3365599999997</v>
      </c>
      <c r="G297" s="190">
        <f>D297-F297</f>
        <v>3760.6634400000003</v>
      </c>
      <c r="H297" s="190">
        <f>SUM(H294:H296)</f>
        <v>2992.5049899999999</v>
      </c>
      <c r="I297" s="246"/>
      <c r="J297" s="122"/>
    </row>
    <row r="298" spans="1:10" ht="17.100000000000001" customHeight="1" x14ac:dyDescent="0.25">
      <c r="A298" s="1"/>
      <c r="B298" s="166"/>
      <c r="C298" s="201"/>
      <c r="D298" s="109"/>
      <c r="E298" s="109"/>
      <c r="F298" s="212"/>
      <c r="G298" s="212"/>
      <c r="H298" s="212"/>
      <c r="I298" s="212"/>
      <c r="J298" s="214"/>
    </row>
    <row r="299" spans="1:10" ht="0" hidden="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0" hidden="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7.100000000000001" customHeight="1" x14ac:dyDescent="0.25">
      <c r="A332" s="1" t="s">
        <v>120</v>
      </c>
      <c r="B332" s="1"/>
      <c r="C332" s="1"/>
      <c r="D332" s="1"/>
      <c r="E332" s="1"/>
      <c r="F332" s="1"/>
      <c r="G332" s="1"/>
      <c r="H332" s="1"/>
      <c r="I332" s="1"/>
      <c r="J332" s="216"/>
    </row>
    <row r="333" spans="1:10" ht="30" customHeight="1" x14ac:dyDescent="0.25">
      <c r="A333" s="216"/>
      <c r="B333" s="216"/>
      <c r="C333" s="217" t="s">
        <v>90</v>
      </c>
      <c r="D333" s="216"/>
      <c r="E333" s="216"/>
      <c r="F333" s="216"/>
      <c r="G333" s="216"/>
      <c r="H333" s="216"/>
      <c r="I333" s="216"/>
      <c r="J333" s="222"/>
    </row>
    <row r="334" spans="1:10" ht="30" customHeight="1" x14ac:dyDescent="0.25">
      <c r="A334" s="216" t="s">
        <v>120</v>
      </c>
      <c r="B334" s="216"/>
      <c r="C334" s="217"/>
      <c r="D334" s="216"/>
      <c r="E334" s="216"/>
      <c r="F334" s="216"/>
      <c r="G334" s="216"/>
      <c r="H334" s="216"/>
      <c r="I334" s="216"/>
      <c r="J334" s="222"/>
    </row>
    <row r="335" spans="1:10" ht="14.1" customHeight="1" x14ac:dyDescent="0.25">
      <c r="A335" s="1"/>
      <c r="B335" s="138"/>
      <c r="C335" s="176"/>
      <c r="D335" s="176"/>
      <c r="E335" s="176"/>
      <c r="F335" s="176"/>
      <c r="G335" s="176"/>
      <c r="H335" s="176"/>
      <c r="I335" s="176"/>
      <c r="J335" s="164"/>
    </row>
    <row r="336" spans="1:10" ht="14.1" customHeight="1" x14ac:dyDescent="0.25">
      <c r="A336" s="159"/>
      <c r="B336" s="54"/>
      <c r="C336" s="151" t="s">
        <v>1</v>
      </c>
      <c r="D336" s="187"/>
      <c r="E336" s="152"/>
      <c r="F336" s="152"/>
      <c r="G336" s="159"/>
      <c r="H336" s="159"/>
      <c r="I336" s="159"/>
      <c r="J336" s="122"/>
    </row>
    <row r="337" spans="1:10" ht="14.1" customHeight="1" x14ac:dyDescent="0.25">
      <c r="A337" s="1"/>
      <c r="B337" s="252"/>
      <c r="C337" s="257" t="s">
        <v>85</v>
      </c>
      <c r="D337" s="268">
        <v>3299</v>
      </c>
      <c r="E337" s="152"/>
      <c r="F337" s="223"/>
      <c r="G337" s="1"/>
      <c r="H337" s="1"/>
      <c r="I337" s="1"/>
      <c r="J337" s="122"/>
    </row>
    <row r="338" spans="1:10" ht="14.1" customHeight="1" x14ac:dyDescent="0.25">
      <c r="A338" s="1"/>
      <c r="B338" s="252"/>
      <c r="C338" s="246" t="s">
        <v>91</v>
      </c>
      <c r="D338" s="46">
        <v>9882</v>
      </c>
      <c r="E338" s="152"/>
      <c r="F338" s="223"/>
      <c r="G338" s="1"/>
      <c r="H338" s="1"/>
      <c r="I338" s="1"/>
      <c r="J338" s="122"/>
    </row>
    <row r="339" spans="1:10" ht="14.1" customHeight="1" x14ac:dyDescent="0.25">
      <c r="A339" s="1"/>
      <c r="B339" s="252"/>
      <c r="C339" s="246" t="s">
        <v>92</v>
      </c>
      <c r="D339" s="46">
        <v>8089</v>
      </c>
      <c r="E339" s="152"/>
      <c r="F339" s="223"/>
      <c r="G339" s="1"/>
      <c r="H339" s="1"/>
      <c r="I339" s="1"/>
      <c r="J339" s="122"/>
    </row>
    <row r="340" spans="1:10" ht="13.5" customHeight="1" x14ac:dyDescent="0.25">
      <c r="A340" s="1"/>
      <c r="B340" s="252"/>
      <c r="C340" s="246" t="s">
        <v>75</v>
      </c>
      <c r="D340" s="46">
        <v>382</v>
      </c>
      <c r="E340" s="152"/>
      <c r="F340" s="223"/>
      <c r="G340" s="1"/>
      <c r="H340" s="1"/>
      <c r="I340" s="1"/>
      <c r="J340" s="122"/>
    </row>
    <row r="341" spans="1:10" ht="14.25" customHeight="1" x14ac:dyDescent="0.25">
      <c r="A341" s="1"/>
      <c r="B341" s="252"/>
      <c r="C341" s="57" t="s">
        <v>50</v>
      </c>
      <c r="D341" s="35">
        <f>SUM(D337:D340)</f>
        <v>21652</v>
      </c>
      <c r="E341" s="152"/>
      <c r="F341" s="152"/>
      <c r="G341" s="1"/>
      <c r="H341" s="1"/>
      <c r="I341" s="1"/>
      <c r="J341" s="122"/>
    </row>
    <row r="342" spans="1:10" ht="14.1" customHeight="1" x14ac:dyDescent="0.25">
      <c r="A342" s="1"/>
      <c r="B342" s="252"/>
      <c r="C342" s="226" t="s">
        <v>93</v>
      </c>
      <c r="D342" s="227"/>
      <c r="E342" s="181"/>
      <c r="F342" s="181"/>
      <c r="G342" s="1"/>
      <c r="H342" s="1"/>
      <c r="I342" s="1"/>
      <c r="J342" s="122"/>
    </row>
    <row r="343" spans="1:10" ht="15" customHeight="1" x14ac:dyDescent="0.25">
      <c r="A343" s="1"/>
      <c r="B343" s="252"/>
      <c r="C343" s="101" t="s">
        <v>94</v>
      </c>
      <c r="D343" s="228"/>
      <c r="E343" s="1"/>
      <c r="F343" s="1"/>
      <c r="G343" s="1"/>
      <c r="H343" s="1"/>
      <c r="I343" s="1"/>
      <c r="J343" s="122"/>
    </row>
    <row r="344" spans="1:10" ht="14.25" customHeight="1" x14ac:dyDescent="0.25">
      <c r="A344" s="1"/>
      <c r="B344" s="252"/>
      <c r="C344" s="101" t="s">
        <v>95</v>
      </c>
      <c r="D344" s="1"/>
      <c r="E344" s="1"/>
      <c r="F344" s="1"/>
      <c r="G344" s="1"/>
      <c r="H344" s="1"/>
      <c r="I344" s="1"/>
      <c r="J344" s="122"/>
    </row>
    <row r="345" spans="1:10" ht="23.25" customHeight="1" x14ac:dyDescent="0.25">
      <c r="A345" s="1"/>
      <c r="B345" s="229"/>
      <c r="C345" s="232" t="s">
        <v>15</v>
      </c>
      <c r="D345" s="232"/>
      <c r="E345" s="232"/>
      <c r="F345" s="232"/>
      <c r="G345" s="232"/>
      <c r="H345" s="232"/>
      <c r="I345" s="232"/>
      <c r="J345" s="236"/>
    </row>
    <row r="346" spans="1:10" ht="14.1" customHeight="1" x14ac:dyDescent="0.25">
      <c r="A346" s="1"/>
      <c r="B346" s="238"/>
      <c r="C346" s="240"/>
      <c r="D346" s="240"/>
      <c r="E346" s="240"/>
      <c r="F346" s="240"/>
      <c r="G346" s="240"/>
      <c r="H346" s="240"/>
      <c r="I346" s="240"/>
      <c r="J346" s="122"/>
    </row>
    <row r="347" spans="1:10" ht="54" customHeight="1" x14ac:dyDescent="0.25">
      <c r="A347" s="1"/>
      <c r="B347" s="252"/>
      <c r="C347" s="68" t="s">
        <v>16</v>
      </c>
      <c r="D347" s="241" t="s">
        <v>2</v>
      </c>
      <c r="E347" s="68" t="s">
        <v>141</v>
      </c>
      <c r="F347" s="68" t="s">
        <v>142</v>
      </c>
      <c r="G347" s="68" t="s">
        <v>143</v>
      </c>
      <c r="H347" s="68" t="s">
        <v>144</v>
      </c>
      <c r="I347" s="1"/>
      <c r="J347" s="118"/>
    </row>
    <row r="348" spans="1:10" ht="14.1" customHeight="1" x14ac:dyDescent="0.25">
      <c r="A348" s="70"/>
      <c r="B348" s="81"/>
      <c r="C348" s="90" t="s">
        <v>96</v>
      </c>
      <c r="D348" s="124">
        <v>800</v>
      </c>
      <c r="E348" s="124">
        <f>11.28326</f>
        <v>11.28326</v>
      </c>
      <c r="F348" s="124">
        <f>268.59663</f>
        <v>268.59663</v>
      </c>
      <c r="G348" s="124">
        <f>D348-F348</f>
        <v>531.40337</v>
      </c>
      <c r="H348" s="124">
        <f>165.16395</f>
        <v>165.16395</v>
      </c>
      <c r="I348" s="70"/>
      <c r="J348" s="242"/>
    </row>
    <row r="349" spans="1:10" ht="14.1" customHeight="1" x14ac:dyDescent="0.25">
      <c r="A349" s="1"/>
      <c r="B349" s="252"/>
      <c r="C349" s="90" t="s">
        <v>97</v>
      </c>
      <c r="D349" s="244">
        <v>2494</v>
      </c>
      <c r="E349" s="124">
        <f>31.71055</f>
        <v>31.710550000000001</v>
      </c>
      <c r="F349" s="124">
        <f>746.25481</f>
        <v>746.25481000000002</v>
      </c>
      <c r="G349" s="124">
        <f>D349-F349</f>
        <v>1747.7451900000001</v>
      </c>
      <c r="H349" s="124">
        <f>554.8117</f>
        <v>554.81169999999997</v>
      </c>
      <c r="I349" s="181"/>
      <c r="J349" s="118"/>
    </row>
    <row r="350" spans="1:10" ht="16.5" customHeight="1" x14ac:dyDescent="0.25">
      <c r="A350" s="70"/>
      <c r="B350" s="81"/>
      <c r="C350" s="146" t="s">
        <v>82</v>
      </c>
      <c r="D350" s="244">
        <v>5</v>
      </c>
      <c r="E350" s="168">
        <f>0</f>
        <v>0</v>
      </c>
      <c r="F350" s="168">
        <f>0.63874</f>
        <v>0.63873999999999997</v>
      </c>
      <c r="G350" s="124">
        <f>D350-F350</f>
        <v>4.3612599999999997</v>
      </c>
      <c r="H350" s="168">
        <f>0.9169</f>
        <v>0.91690000000000005</v>
      </c>
      <c r="I350" s="70"/>
      <c r="J350" s="247"/>
    </row>
    <row r="351" spans="1:10" ht="18.75" customHeight="1" x14ac:dyDescent="0.25">
      <c r="A351" s="70"/>
      <c r="B351" s="248"/>
      <c r="C351" s="146" t="s">
        <v>98</v>
      </c>
      <c r="D351" s="220"/>
      <c r="E351" s="168">
        <f>0.033</f>
        <v>3.3000000000000002E-2</v>
      </c>
      <c r="F351" s="168">
        <f>1.68235</f>
        <v>1.68235</v>
      </c>
      <c r="G351" s="124"/>
      <c r="H351" s="168">
        <f>3.1181</f>
        <v>3.1181000000000001</v>
      </c>
      <c r="I351" s="282"/>
      <c r="J351" s="122"/>
    </row>
    <row r="352" spans="1:10" ht="14.1" customHeight="1" x14ac:dyDescent="0.25">
      <c r="A352" s="1"/>
      <c r="B352" s="252"/>
      <c r="C352" s="179" t="s">
        <v>88</v>
      </c>
      <c r="D352" s="6">
        <f>D337</f>
        <v>3299</v>
      </c>
      <c r="E352" s="190">
        <f>SUM(E348:E351)</f>
        <v>43.026810000000005</v>
      </c>
      <c r="F352" s="190">
        <f>SUM(F348:F351)</f>
        <v>1017.1725300000001</v>
      </c>
      <c r="G352" s="190">
        <f>D352-F352</f>
        <v>2281.8274700000002</v>
      </c>
      <c r="H352" s="190">
        <f>H348+H349+H350+H351</f>
        <v>724.01065000000006</v>
      </c>
      <c r="I352" s="1"/>
      <c r="J352" s="122"/>
    </row>
    <row r="353" spans="1:10" ht="14.1" customHeight="1" x14ac:dyDescent="0.25">
      <c r="A353" s="1"/>
      <c r="B353" s="252"/>
      <c r="C353" s="21"/>
      <c r="D353" s="34"/>
      <c r="E353" s="34"/>
      <c r="F353" s="34"/>
      <c r="G353" s="34"/>
      <c r="H353" s="34"/>
      <c r="I353" s="1"/>
      <c r="J353" s="122"/>
    </row>
    <row r="354" spans="1:10" ht="14.1" customHeight="1" x14ac:dyDescent="0.25">
      <c r="A354" s="1"/>
      <c r="B354" s="166"/>
      <c r="C354" s="109"/>
      <c r="D354" s="109"/>
      <c r="E354" s="109"/>
      <c r="F354" s="109"/>
      <c r="G354" s="108"/>
      <c r="H354" s="109"/>
      <c r="I354" s="109"/>
      <c r="J354" s="120"/>
    </row>
    <row r="355" spans="1:10" ht="14.1" customHeight="1" x14ac:dyDescent="0.25">
      <c r="A355" s="1"/>
      <c r="C355" s="152" t="s">
        <v>120</v>
      </c>
    </row>
    <row r="356" spans="1:10" ht="14.1" customHeight="1" x14ac:dyDescent="0.25">
      <c r="A356" s="1" t="s">
        <v>120</v>
      </c>
    </row>
    <row r="357" spans="1:10" ht="14.1" customHeight="1" x14ac:dyDescent="0.25">
      <c r="A357" s="1" t="s">
        <v>120</v>
      </c>
    </row>
    <row r="358" spans="1:10" ht="14.1" customHeight="1" x14ac:dyDescent="0.25">
      <c r="A358" s="1"/>
      <c r="C358" s="152" t="s">
        <v>120</v>
      </c>
    </row>
    <row r="359" spans="1:10" ht="36" customHeight="1" x14ac:dyDescent="0.25">
      <c r="A359" s="1"/>
      <c r="C359" s="152" t="s">
        <v>120</v>
      </c>
    </row>
    <row r="360" spans="1:10" ht="14.1" customHeight="1" x14ac:dyDescent="0.25">
      <c r="A360" s="1"/>
      <c r="C360" s="152" t="s">
        <v>120</v>
      </c>
    </row>
    <row r="361" spans="1:10" ht="14.1" customHeight="1" x14ac:dyDescent="0.25">
      <c r="A361" s="1"/>
      <c r="C361" s="152" t="s">
        <v>120</v>
      </c>
    </row>
    <row r="362" spans="1:10" ht="30" customHeight="1" x14ac:dyDescent="0.35">
      <c r="A362" s="216"/>
      <c r="B362" s="1"/>
      <c r="C362" s="213" t="s">
        <v>99</v>
      </c>
      <c r="D362" s="159"/>
      <c r="E362" s="1"/>
      <c r="F362" s="1"/>
      <c r="G362" s="1"/>
      <c r="H362" s="1"/>
      <c r="I362" s="1"/>
      <c r="J362" s="1"/>
    </row>
    <row r="363" spans="1:10" ht="17.100000000000001" customHeight="1" x14ac:dyDescent="0.25">
      <c r="B363" s="126"/>
      <c r="C363" s="237"/>
      <c r="D363" s="237"/>
      <c r="E363" s="237"/>
      <c r="F363" s="237"/>
      <c r="G363" s="237"/>
      <c r="H363" s="237"/>
      <c r="I363" s="237"/>
      <c r="J363" s="62"/>
    </row>
    <row r="364" spans="1:10" ht="6" customHeight="1" x14ac:dyDescent="0.25">
      <c r="B364" s="74"/>
      <c r="C364" s="152"/>
      <c r="D364" s="152"/>
      <c r="E364" s="152"/>
      <c r="F364" s="152"/>
      <c r="G364" s="152"/>
      <c r="H364" s="152"/>
      <c r="I364" s="152"/>
      <c r="J364" s="132"/>
    </row>
    <row r="365" spans="1:10" ht="18" customHeight="1" x14ac:dyDescent="0.25">
      <c r="B365" s="74"/>
      <c r="C365" s="151" t="s">
        <v>1</v>
      </c>
      <c r="D365" s="187"/>
      <c r="E365" s="151" t="s">
        <v>100</v>
      </c>
      <c r="F365" s="187"/>
      <c r="G365" s="151" t="s">
        <v>101</v>
      </c>
      <c r="H365" s="187"/>
      <c r="I365" s="152"/>
      <c r="J365" s="132"/>
    </row>
    <row r="366" spans="1:10" ht="14.25" customHeight="1" x14ac:dyDescent="0.25">
      <c r="B366" s="74"/>
      <c r="C366" s="257" t="s">
        <v>85</v>
      </c>
      <c r="D366" s="268">
        <v>27365</v>
      </c>
      <c r="E366" s="250" t="s">
        <v>4</v>
      </c>
      <c r="F366" s="105">
        <v>13865</v>
      </c>
      <c r="G366" s="246" t="s">
        <v>20</v>
      </c>
      <c r="H366" s="46">
        <v>6472</v>
      </c>
      <c r="I366" s="152"/>
      <c r="J366" s="132"/>
    </row>
    <row r="367" spans="1:10" ht="14.25" customHeight="1" x14ac:dyDescent="0.25">
      <c r="B367" s="74"/>
      <c r="C367" s="246" t="s">
        <v>92</v>
      </c>
      <c r="D367" s="46">
        <v>19433</v>
      </c>
      <c r="E367" s="181" t="s">
        <v>97</v>
      </c>
      <c r="F367" s="49">
        <v>8000</v>
      </c>
      <c r="G367" s="246" t="s">
        <v>21</v>
      </c>
      <c r="H367" s="46">
        <v>1684</v>
      </c>
      <c r="I367" s="152"/>
      <c r="J367" s="132"/>
    </row>
    <row r="368" spans="1:10" ht="14.25" customHeight="1" x14ac:dyDescent="0.25">
      <c r="B368" s="74"/>
      <c r="C368" s="246" t="s">
        <v>91</v>
      </c>
      <c r="D368" s="46">
        <v>6186</v>
      </c>
      <c r="E368" s="181" t="s">
        <v>60</v>
      </c>
      <c r="F368" s="49">
        <v>5500</v>
      </c>
      <c r="G368" s="246" t="s">
        <v>102</v>
      </c>
      <c r="H368" s="46">
        <v>4296</v>
      </c>
      <c r="I368" s="152"/>
      <c r="J368" s="132"/>
    </row>
    <row r="369" spans="1:10" ht="14.1" customHeight="1" x14ac:dyDescent="0.25">
      <c r="B369" s="74"/>
      <c r="C369" s="246"/>
      <c r="D369" s="46"/>
      <c r="E369" s="133"/>
      <c r="F369" s="147"/>
      <c r="G369" s="246" t="s">
        <v>103</v>
      </c>
      <c r="H369" s="46">
        <v>1313</v>
      </c>
      <c r="I369" s="152"/>
      <c r="J369" s="132"/>
    </row>
    <row r="370" spans="1:10" ht="14.1" customHeight="1" x14ac:dyDescent="0.25">
      <c r="B370" s="74"/>
      <c r="C370" s="57" t="s">
        <v>50</v>
      </c>
      <c r="D370" s="35">
        <v>53374</v>
      </c>
      <c r="E370" s="175" t="s">
        <v>104</v>
      </c>
      <c r="F370" s="35">
        <f>F366+F367+F368</f>
        <v>27365</v>
      </c>
      <c r="G370" s="57" t="s">
        <v>4</v>
      </c>
      <c r="H370" s="35">
        <f>SUM(H366:H369)</f>
        <v>13765</v>
      </c>
      <c r="I370" s="152"/>
      <c r="J370" s="132"/>
    </row>
    <row r="371" spans="1:10" ht="13.35" customHeight="1" x14ac:dyDescent="0.25">
      <c r="B371" s="74"/>
      <c r="C371" s="101" t="s">
        <v>121</v>
      </c>
      <c r="D371" s="181"/>
      <c r="E371" s="181"/>
      <c r="F371" s="181"/>
      <c r="G371" s="1"/>
      <c r="H371" s="181"/>
      <c r="I371" s="181"/>
      <c r="J371" s="242"/>
    </row>
    <row r="372" spans="1:10" ht="13.35" customHeight="1" x14ac:dyDescent="0.25">
      <c r="B372" s="74"/>
      <c r="C372" s="101" t="s">
        <v>105</v>
      </c>
      <c r="D372" s="1"/>
      <c r="E372" s="1"/>
      <c r="F372" s="1"/>
      <c r="G372" s="1"/>
      <c r="H372" s="1"/>
      <c r="I372" s="1"/>
      <c r="J372" s="122"/>
    </row>
    <row r="373" spans="1:10" ht="9.75" customHeight="1" x14ac:dyDescent="0.25">
      <c r="B373" s="74"/>
      <c r="C373" s="101"/>
      <c r="D373" s="1"/>
      <c r="E373" s="1"/>
      <c r="F373" s="1"/>
      <c r="G373" s="1"/>
      <c r="H373" s="1"/>
      <c r="I373" s="1"/>
      <c r="J373" s="122"/>
    </row>
    <row r="374" spans="1:10" ht="18" customHeight="1" x14ac:dyDescent="0.25">
      <c r="B374" s="74"/>
      <c r="C374" s="152"/>
      <c r="D374" s="152"/>
      <c r="E374" s="152"/>
      <c r="F374" s="152"/>
      <c r="G374" s="152"/>
      <c r="H374" s="152"/>
      <c r="I374" s="152"/>
      <c r="J374" s="132"/>
    </row>
    <row r="375" spans="1:10" ht="29.25" customHeight="1" x14ac:dyDescent="0.25">
      <c r="B375" s="229"/>
      <c r="C375" s="232" t="s">
        <v>15</v>
      </c>
      <c r="D375" s="232"/>
      <c r="E375" s="232"/>
      <c r="F375" s="232"/>
      <c r="G375" s="232"/>
      <c r="H375" s="232"/>
      <c r="I375" s="232"/>
      <c r="J375" s="236"/>
    </row>
    <row r="376" spans="1:10" ht="18.75" customHeight="1" x14ac:dyDescent="0.25">
      <c r="B376" s="200"/>
      <c r="C376" s="222"/>
      <c r="D376" s="222"/>
      <c r="E376" s="222"/>
      <c r="F376" s="222"/>
      <c r="G376" s="222"/>
      <c r="H376" s="222"/>
      <c r="I376" s="222"/>
      <c r="J376" s="13"/>
    </row>
    <row r="377" spans="1:10" ht="64.5" customHeight="1" x14ac:dyDescent="0.25">
      <c r="B377" s="74"/>
      <c r="C377" s="221" t="s">
        <v>16</v>
      </c>
      <c r="D377" s="230" t="s">
        <v>17</v>
      </c>
      <c r="E377" s="68" t="s">
        <v>106</v>
      </c>
      <c r="F377" s="221" t="s">
        <v>141</v>
      </c>
      <c r="G377" s="221" t="s">
        <v>142</v>
      </c>
      <c r="H377" s="221" t="s">
        <v>143</v>
      </c>
      <c r="I377" s="221" t="s">
        <v>144</v>
      </c>
      <c r="J377" s="132"/>
    </row>
    <row r="378" spans="1:10" ht="14.1" customHeight="1" x14ac:dyDescent="0.25">
      <c r="A378" s="216"/>
      <c r="B378" s="74"/>
      <c r="C378" s="245" t="s">
        <v>19</v>
      </c>
      <c r="D378" s="249">
        <f t="shared" ref="D378:I378" si="14">D382+D381+D380+D379</f>
        <v>13765</v>
      </c>
      <c r="E378" s="249">
        <f t="shared" si="14"/>
        <v>16102</v>
      </c>
      <c r="F378" s="251">
        <f t="shared" si="14"/>
        <v>183.6995</v>
      </c>
      <c r="G378" s="251">
        <f t="shared" si="14"/>
        <v>5577.3421099999996</v>
      </c>
      <c r="H378" s="251">
        <f>H382+H381+H380+H379</f>
        <v>10524.657889999999</v>
      </c>
      <c r="I378" s="251">
        <f t="shared" si="14"/>
        <v>3003.5758799999999</v>
      </c>
      <c r="J378" s="132"/>
    </row>
    <row r="379" spans="1:10" ht="14.1" customHeight="1" x14ac:dyDescent="0.25">
      <c r="A379" s="216"/>
      <c r="B379" s="74"/>
      <c r="C379" s="253" t="s">
        <v>107</v>
      </c>
      <c r="D379" s="254">
        <v>6472</v>
      </c>
      <c r="E379" s="254">
        <v>8177</v>
      </c>
      <c r="F379" s="255">
        <f>38.11725</f>
        <v>38.117249999999999</v>
      </c>
      <c r="G379" s="255">
        <f>2352.78733</f>
        <v>2352.7873300000001</v>
      </c>
      <c r="H379" s="255">
        <f t="shared" ref="H379:H383" si="15">E379-G379</f>
        <v>5824.2126699999999</v>
      </c>
      <c r="I379" s="255">
        <f>1355.29893</f>
        <v>1355.2989299999999</v>
      </c>
      <c r="J379" s="132"/>
    </row>
    <row r="380" spans="1:10" ht="14.1" customHeight="1" x14ac:dyDescent="0.25">
      <c r="A380" s="216"/>
      <c r="B380" s="74"/>
      <c r="C380" s="258" t="s">
        <v>21</v>
      </c>
      <c r="D380" s="254">
        <v>1684</v>
      </c>
      <c r="E380" s="254">
        <v>2128</v>
      </c>
      <c r="F380" s="255">
        <f>0</f>
        <v>0</v>
      </c>
      <c r="G380" s="255">
        <f>806.0337</f>
        <v>806.03369999999995</v>
      </c>
      <c r="H380" s="255">
        <f t="shared" si="15"/>
        <v>1321.9663</v>
      </c>
      <c r="I380" s="255">
        <f>490.4118</f>
        <v>490.41180000000003</v>
      </c>
      <c r="J380" s="132"/>
    </row>
    <row r="381" spans="1:10" ht="14.1" customHeight="1" x14ac:dyDescent="0.25">
      <c r="A381" s="216"/>
      <c r="B381" s="74"/>
      <c r="C381" s="258" t="s">
        <v>103</v>
      </c>
      <c r="D381" s="254">
        <v>1313</v>
      </c>
      <c r="E381" s="254">
        <v>1357</v>
      </c>
      <c r="F381" s="255">
        <f>13.11905</f>
        <v>13.11905</v>
      </c>
      <c r="G381" s="255">
        <f>1302.50178</f>
        <v>1302.5017800000001</v>
      </c>
      <c r="H381" s="255">
        <f t="shared" si="15"/>
        <v>54.498219999999947</v>
      </c>
      <c r="I381" s="255">
        <f>929.56675</f>
        <v>929.56674999999996</v>
      </c>
      <c r="J381" s="132"/>
    </row>
    <row r="382" spans="1:10" ht="14.1" customHeight="1" x14ac:dyDescent="0.25">
      <c r="A382" s="216"/>
      <c r="B382" s="74"/>
      <c r="C382" s="260" t="s">
        <v>108</v>
      </c>
      <c r="D382" s="261">
        <v>4296</v>
      </c>
      <c r="E382" s="261">
        <v>4440</v>
      </c>
      <c r="F382" s="255">
        <f>132.4632</f>
        <v>132.4632</v>
      </c>
      <c r="G382" s="255">
        <f>1116.0193</f>
        <v>1116.0192999999999</v>
      </c>
      <c r="H382" s="255">
        <f t="shared" si="15"/>
        <v>3323.9807000000001</v>
      </c>
      <c r="I382" s="255">
        <f>228.2984</f>
        <v>228.29839999999999</v>
      </c>
      <c r="J382" s="132"/>
    </row>
    <row r="383" spans="1:10" ht="14.1" customHeight="1" x14ac:dyDescent="0.25">
      <c r="A383" s="216"/>
      <c r="B383" s="74"/>
      <c r="C383" s="263" t="s">
        <v>60</v>
      </c>
      <c r="D383" s="264">
        <v>5500</v>
      </c>
      <c r="E383" s="264">
        <v>5500</v>
      </c>
      <c r="F383" s="266">
        <f>49.47602</f>
        <v>49.476019999999998</v>
      </c>
      <c r="G383" s="266">
        <f>4770.48048</f>
        <v>4770.4804800000002</v>
      </c>
      <c r="H383" s="266">
        <f t="shared" si="15"/>
        <v>729.51951999999983</v>
      </c>
      <c r="I383" s="266">
        <f>4496.00328</f>
        <v>4496.0032799999999</v>
      </c>
      <c r="J383" s="132"/>
    </row>
    <row r="384" spans="1:10" ht="14.1" customHeight="1" x14ac:dyDescent="0.25">
      <c r="A384" s="216"/>
      <c r="B384" s="74"/>
      <c r="C384" s="245" t="s">
        <v>22</v>
      </c>
      <c r="D384" s="249">
        <v>8000</v>
      </c>
      <c r="E384" s="249">
        <v>8000</v>
      </c>
      <c r="F384" s="267">
        <f>F386+F385</f>
        <v>30.820779999999999</v>
      </c>
      <c r="G384" s="267">
        <f>G386+G385</f>
        <v>2034.9615200000001</v>
      </c>
      <c r="H384" s="267">
        <f>E384-G384</f>
        <v>5965.0384800000002</v>
      </c>
      <c r="I384" s="267">
        <f>I386+I385</f>
        <v>1767.2355400000001</v>
      </c>
      <c r="J384" s="132"/>
    </row>
    <row r="385" spans="1:10" ht="14.1" customHeight="1" x14ac:dyDescent="0.25">
      <c r="A385" s="216"/>
      <c r="B385" s="74"/>
      <c r="C385" s="258" t="s">
        <v>54</v>
      </c>
      <c r="D385" s="269"/>
      <c r="E385" s="254"/>
      <c r="F385" s="255">
        <f>1.72035</f>
        <v>1.72035</v>
      </c>
      <c r="G385" s="255">
        <f>750.43236</f>
        <v>750.43236000000002</v>
      </c>
      <c r="H385" s="255"/>
      <c r="I385" s="255">
        <f>901.01894</f>
        <v>901.01894000000004</v>
      </c>
      <c r="J385" s="132"/>
    </row>
    <row r="386" spans="1:10" ht="14.1" customHeight="1" x14ac:dyDescent="0.25">
      <c r="A386" s="216"/>
      <c r="B386" s="74"/>
      <c r="C386" s="271" t="s">
        <v>109</v>
      </c>
      <c r="D386" s="272"/>
      <c r="E386" s="275"/>
      <c r="F386" s="276">
        <f>29.10043</f>
        <v>29.100429999999999</v>
      </c>
      <c r="G386" s="276">
        <f>1284.52916</f>
        <v>1284.52916</v>
      </c>
      <c r="H386" s="276"/>
      <c r="I386" s="276">
        <f>866.2166</f>
        <v>866.21659999999997</v>
      </c>
      <c r="J386" s="132"/>
    </row>
    <row r="387" spans="1:10" ht="14.1" customHeight="1" x14ac:dyDescent="0.25">
      <c r="A387" s="216"/>
      <c r="B387" s="74"/>
      <c r="C387" s="263" t="s">
        <v>34</v>
      </c>
      <c r="D387" s="264">
        <v>10</v>
      </c>
      <c r="E387" s="264">
        <v>10</v>
      </c>
      <c r="F387" s="266">
        <f>0</f>
        <v>0</v>
      </c>
      <c r="G387" s="266">
        <f>0.0735</f>
        <v>7.3499999999999996E-2</v>
      </c>
      <c r="H387" s="266">
        <f>E387-G387</f>
        <v>9.9265000000000008</v>
      </c>
      <c r="I387" s="266">
        <f>0.1593</f>
        <v>0.1593</v>
      </c>
      <c r="J387" s="132"/>
    </row>
    <row r="388" spans="1:10" ht="14.1" customHeight="1" x14ac:dyDescent="0.25">
      <c r="A388" s="216"/>
      <c r="B388" s="74"/>
      <c r="C388" s="277" t="s">
        <v>110</v>
      </c>
      <c r="D388" s="280"/>
      <c r="E388" s="281"/>
      <c r="F388" s="266">
        <f>5.83372</f>
        <v>5.8337199999999996</v>
      </c>
      <c r="G388" s="266">
        <f>36.11196</f>
        <v>36.111960000000003</v>
      </c>
      <c r="H388" s="266">
        <f>E388-G388</f>
        <v>-36.111960000000003</v>
      </c>
      <c r="I388" s="266">
        <f>73.25855</f>
        <v>73.25855</v>
      </c>
      <c r="J388" s="132"/>
    </row>
    <row r="389" spans="1:10" ht="19.5" customHeight="1" x14ac:dyDescent="0.25">
      <c r="A389" s="216"/>
      <c r="B389" s="74"/>
      <c r="C389" s="283" t="s">
        <v>41</v>
      </c>
      <c r="D389" s="284">
        <f>D378+D383+D384+D387+D388</f>
        <v>27275</v>
      </c>
      <c r="E389" s="284">
        <f>E378+E383+E384+E387+E388</f>
        <v>29612</v>
      </c>
      <c r="F389" s="285">
        <f t="shared" ref="F389:I389" si="16">F378+F383+F384+F387+F388</f>
        <v>269.83001999999999</v>
      </c>
      <c r="G389" s="285">
        <f t="shared" si="16"/>
        <v>12418.969570000001</v>
      </c>
      <c r="H389" s="285">
        <f>H378+H383+H384+H387+H388</f>
        <v>17193.030430000003</v>
      </c>
      <c r="I389" s="285">
        <f t="shared" si="16"/>
        <v>9340.2325499999988</v>
      </c>
      <c r="J389" s="132"/>
    </row>
    <row r="390" spans="1:10" ht="14.1" customHeight="1" x14ac:dyDescent="0.25">
      <c r="A390" s="216"/>
      <c r="B390" s="74"/>
      <c r="C390" s="163" t="s">
        <v>111</v>
      </c>
      <c r="D390" s="287"/>
      <c r="E390" s="287"/>
      <c r="F390" s="4"/>
      <c r="G390" s="4"/>
      <c r="H390" s="5"/>
      <c r="I390" s="5"/>
      <c r="J390" s="132"/>
    </row>
    <row r="391" spans="1:10" ht="14.1" customHeight="1" x14ac:dyDescent="0.25">
      <c r="A391" s="216"/>
      <c r="B391" s="74"/>
      <c r="C391" s="101" t="s">
        <v>122</v>
      </c>
      <c r="D391" s="287"/>
      <c r="E391" s="287"/>
      <c r="F391" s="4"/>
      <c r="G391" s="4"/>
      <c r="H391" s="7"/>
      <c r="I391" s="5"/>
      <c r="J391" s="132"/>
    </row>
    <row r="392" spans="1:10" ht="14.1" customHeight="1" x14ac:dyDescent="0.25">
      <c r="A392" s="216"/>
      <c r="B392" s="74"/>
      <c r="C392" s="101" t="s">
        <v>123</v>
      </c>
      <c r="D392" s="287"/>
      <c r="E392" s="287"/>
      <c r="F392" s="4"/>
      <c r="G392" s="4"/>
      <c r="H392" s="5"/>
      <c r="I392" s="7"/>
      <c r="J392" s="132"/>
    </row>
    <row r="393" spans="1:10" ht="15.75" customHeight="1" x14ac:dyDescent="0.25">
      <c r="A393" s="216"/>
      <c r="B393" s="8"/>
      <c r="C393" s="9"/>
      <c r="D393" s="109"/>
      <c r="E393" s="109"/>
      <c r="F393" s="109"/>
      <c r="G393" s="109"/>
      <c r="H393" s="109"/>
      <c r="I393" s="109"/>
      <c r="J393" s="12"/>
    </row>
    <row r="394" spans="1:10" ht="15.75" customHeight="1" x14ac:dyDescent="0.25">
      <c r="A394" s="216"/>
      <c r="B394" s="152" t="s">
        <v>120</v>
      </c>
      <c r="C394" s="14"/>
      <c r="D394" s="1"/>
      <c r="E394" s="1"/>
      <c r="F394" s="1"/>
      <c r="G394" s="1"/>
      <c r="H394" s="1"/>
      <c r="I394" s="1"/>
      <c r="J394" s="152"/>
    </row>
    <row r="395" spans="1:10" ht="15.75" customHeight="1" x14ac:dyDescent="0.25">
      <c r="A395" s="216"/>
      <c r="B395" s="152" t="s">
        <v>120</v>
      </c>
      <c r="C395" s="14"/>
      <c r="D395" s="1"/>
      <c r="E395" s="1"/>
      <c r="F395" s="1"/>
      <c r="G395" s="1"/>
      <c r="H395" s="1"/>
      <c r="I395" s="1"/>
      <c r="J395" s="152"/>
    </row>
    <row r="396" spans="1:10" ht="14.1" customHeight="1" x14ac:dyDescent="0.25">
      <c r="A396" s="216"/>
      <c r="C396" s="152" t="s">
        <v>120</v>
      </c>
      <c r="D396" s="159"/>
    </row>
    <row r="397" spans="1:10" ht="14.1" customHeight="1" x14ac:dyDescent="0.25">
      <c r="A397" s="216"/>
      <c r="B397" s="126"/>
      <c r="C397" s="237"/>
      <c r="D397" s="17"/>
      <c r="E397" s="237"/>
      <c r="F397" s="237"/>
      <c r="G397" s="237"/>
      <c r="H397" s="237"/>
      <c r="I397" s="237"/>
      <c r="J397" s="62"/>
    </row>
    <row r="398" spans="1:10" ht="14.1" customHeight="1" x14ac:dyDescent="0.25">
      <c r="A398" s="216"/>
      <c r="B398" s="74"/>
      <c r="C398" s="217" t="s">
        <v>112</v>
      </c>
      <c r="D398" s="159"/>
      <c r="E398" s="152"/>
      <c r="G398" s="152"/>
      <c r="H398" s="152"/>
      <c r="I398" s="152"/>
      <c r="J398" s="132"/>
    </row>
    <row r="399" spans="1:10" ht="14.1" customHeight="1" x14ac:dyDescent="0.25">
      <c r="A399" s="216"/>
      <c r="B399" s="74"/>
      <c r="C399" s="152"/>
      <c r="D399" s="159"/>
      <c r="E399" s="152"/>
      <c r="G399" s="152"/>
      <c r="H399" s="152"/>
      <c r="I399" s="152"/>
      <c r="J399" s="132"/>
    </row>
    <row r="400" spans="1:10" ht="14.1" customHeight="1" x14ac:dyDescent="0.25">
      <c r="A400" s="216"/>
      <c r="B400" s="74"/>
      <c r="C400" s="151" t="s">
        <v>113</v>
      </c>
      <c r="D400" s="187"/>
      <c r="E400" s="152"/>
      <c r="F400" s="152"/>
      <c r="G400" s="152"/>
      <c r="H400" s="152"/>
      <c r="I400" s="152"/>
      <c r="J400" s="132"/>
    </row>
    <row r="401" spans="1:10" ht="14.1" customHeight="1" x14ac:dyDescent="0.25">
      <c r="A401" s="216"/>
      <c r="B401" s="74"/>
      <c r="C401" s="257" t="s">
        <v>85</v>
      </c>
      <c r="D401" s="268">
        <v>3360</v>
      </c>
      <c r="E401" s="152"/>
      <c r="F401" s="152"/>
      <c r="G401" s="152"/>
      <c r="H401" s="152"/>
      <c r="I401" s="152"/>
      <c r="J401" s="132"/>
    </row>
    <row r="402" spans="1:10" ht="14.1" customHeight="1" x14ac:dyDescent="0.25">
      <c r="A402" s="216"/>
      <c r="B402" s="74"/>
      <c r="C402" s="246" t="s">
        <v>92</v>
      </c>
      <c r="D402" s="46">
        <v>2399</v>
      </c>
      <c r="E402" s="152"/>
      <c r="G402" s="152"/>
      <c r="H402" s="152"/>
      <c r="I402" s="152"/>
      <c r="J402" s="132"/>
    </row>
    <row r="403" spans="1:10" ht="14.1" customHeight="1" x14ac:dyDescent="0.25">
      <c r="A403" s="216"/>
      <c r="B403" s="74"/>
      <c r="C403" s="246" t="s">
        <v>75</v>
      </c>
      <c r="D403" s="46">
        <v>123</v>
      </c>
      <c r="E403" s="152"/>
      <c r="F403" s="152"/>
      <c r="G403" s="152"/>
      <c r="H403" s="152"/>
      <c r="I403" s="152"/>
      <c r="J403" s="132"/>
    </row>
    <row r="404" spans="1:10" ht="14.1" customHeight="1" x14ac:dyDescent="0.25">
      <c r="A404" s="216"/>
      <c r="B404" s="74"/>
      <c r="C404" s="57" t="s">
        <v>50</v>
      </c>
      <c r="D404" s="35">
        <v>5882</v>
      </c>
      <c r="E404" s="152"/>
      <c r="F404" s="152"/>
      <c r="G404" s="152"/>
      <c r="H404" s="152"/>
      <c r="I404" s="152"/>
      <c r="J404" s="132"/>
    </row>
    <row r="405" spans="1:10" ht="14.1" customHeight="1" x14ac:dyDescent="0.25">
      <c r="A405" s="216"/>
      <c r="B405" s="74"/>
      <c r="C405" s="226" t="s">
        <v>114</v>
      </c>
      <c r="D405" s="147"/>
      <c r="E405" s="152"/>
      <c r="F405" s="152"/>
      <c r="G405" s="152"/>
      <c r="H405" s="152"/>
      <c r="I405" s="152"/>
      <c r="J405" s="132"/>
    </row>
    <row r="406" spans="1:10" ht="14.1" customHeight="1" x14ac:dyDescent="0.25">
      <c r="A406" s="216"/>
      <c r="B406" s="74"/>
      <c r="C406" s="101" t="s">
        <v>124</v>
      </c>
      <c r="D406" s="133"/>
      <c r="E406" s="152"/>
      <c r="F406" s="152"/>
      <c r="G406" s="152"/>
      <c r="H406" s="152"/>
      <c r="I406" s="152"/>
      <c r="J406" s="132"/>
    </row>
    <row r="407" spans="1:10" ht="14.1" customHeight="1" x14ac:dyDescent="0.25">
      <c r="A407" s="216"/>
      <c r="B407" s="74"/>
      <c r="C407" s="152"/>
      <c r="D407" s="159"/>
      <c r="E407" s="152"/>
      <c r="F407" s="152"/>
      <c r="G407" s="152"/>
      <c r="H407" s="152"/>
      <c r="I407" s="152"/>
      <c r="J407" s="132"/>
    </row>
    <row r="408" spans="1:10" ht="14.1" customHeight="1" x14ac:dyDescent="0.25">
      <c r="A408" s="216"/>
      <c r="B408" s="74"/>
      <c r="C408" s="152"/>
      <c r="D408" s="152"/>
      <c r="E408" s="152"/>
      <c r="F408" s="152"/>
      <c r="G408" s="152"/>
      <c r="H408" s="152"/>
      <c r="I408" s="152"/>
      <c r="J408" s="132"/>
    </row>
    <row r="409" spans="1:10" ht="29.25" customHeight="1" x14ac:dyDescent="0.25">
      <c r="A409" s="216"/>
      <c r="B409" s="229"/>
      <c r="C409" s="232" t="s">
        <v>15</v>
      </c>
      <c r="D409" s="232"/>
      <c r="E409" s="232"/>
      <c r="F409" s="232"/>
      <c r="G409" s="232"/>
      <c r="H409" s="232"/>
      <c r="I409" s="232"/>
      <c r="J409" s="236"/>
    </row>
    <row r="410" spans="1:10" ht="78" customHeight="1" x14ac:dyDescent="0.25">
      <c r="A410" s="216"/>
      <c r="B410" s="200"/>
      <c r="C410" s="20" t="s">
        <v>115</v>
      </c>
      <c r="D410" s="22" t="s">
        <v>116</v>
      </c>
      <c r="E410" s="20" t="s">
        <v>141</v>
      </c>
      <c r="F410" s="20" t="s">
        <v>142</v>
      </c>
      <c r="G410" s="25" t="s">
        <v>143</v>
      </c>
      <c r="H410" s="20" t="s">
        <v>144</v>
      </c>
      <c r="I410" s="222"/>
      <c r="J410" s="13"/>
    </row>
    <row r="411" spans="1:10" ht="14.1" customHeight="1" x14ac:dyDescent="0.25">
      <c r="A411" s="216"/>
      <c r="B411" s="74"/>
      <c r="C411" s="263" t="s">
        <v>117</v>
      </c>
      <c r="D411" s="10">
        <v>2241</v>
      </c>
      <c r="E411" s="26">
        <f>E413+E412</f>
        <v>0</v>
      </c>
      <c r="F411" s="26">
        <f>F413+F412</f>
        <v>2196.8481299999999</v>
      </c>
      <c r="G411" s="87">
        <f>D411-F411</f>
        <v>44.151870000000145</v>
      </c>
      <c r="H411" s="26">
        <f>SUM(H412:H413)</f>
        <v>1387.6323299999999</v>
      </c>
      <c r="I411" s="27"/>
      <c r="J411" s="132"/>
    </row>
    <row r="412" spans="1:10" ht="14.1" customHeight="1" x14ac:dyDescent="0.25">
      <c r="A412" s="216"/>
      <c r="B412" s="74"/>
      <c r="C412" s="29" t="s">
        <v>8</v>
      </c>
      <c r="D412" s="206"/>
      <c r="E412" s="207">
        <f>0</f>
        <v>0</v>
      </c>
      <c r="F412" s="207">
        <f>1713.27513</f>
        <v>1713.27513</v>
      </c>
      <c r="G412" s="208"/>
      <c r="H412" s="207">
        <f>1082.54115</f>
        <v>1082.54115</v>
      </c>
      <c r="I412" s="152"/>
      <c r="J412" s="132"/>
    </row>
    <row r="413" spans="1:10" ht="14.1" customHeight="1" x14ac:dyDescent="0.25">
      <c r="A413" s="216"/>
      <c r="B413" s="74"/>
      <c r="C413" s="29" t="s">
        <v>11</v>
      </c>
      <c r="D413" s="209"/>
      <c r="E413" s="210">
        <f>0</f>
        <v>0</v>
      </c>
      <c r="F413" s="210">
        <f>483.573</f>
        <v>483.57299999999998</v>
      </c>
      <c r="G413" s="211"/>
      <c r="H413" s="210">
        <f>305.09118</f>
        <v>305.09118000000001</v>
      </c>
      <c r="I413" s="152"/>
      <c r="J413" s="132"/>
    </row>
    <row r="414" spans="1:10" ht="14.1" customHeight="1" x14ac:dyDescent="0.25">
      <c r="A414" s="216"/>
      <c r="B414" s="74"/>
      <c r="C414" s="263" t="s">
        <v>118</v>
      </c>
      <c r="D414" s="10">
        <v>1120</v>
      </c>
      <c r="E414" s="26">
        <f>SUM(E415:E416)</f>
        <v>83.440290000000005</v>
      </c>
      <c r="F414" s="26">
        <f>SUM(F415:F416)</f>
        <v>775.49707999999998</v>
      </c>
      <c r="G414" s="87">
        <f>D414-F414</f>
        <v>344.50292000000002</v>
      </c>
      <c r="H414" s="26">
        <f>SUM(H415:H416)</f>
        <v>680.85955000000001</v>
      </c>
      <c r="I414" s="27"/>
      <c r="J414" s="132"/>
    </row>
    <row r="415" spans="1:10" ht="14.1" customHeight="1" x14ac:dyDescent="0.25">
      <c r="A415" s="216"/>
      <c r="B415" s="74"/>
      <c r="C415" s="29" t="s">
        <v>8</v>
      </c>
      <c r="D415" s="44"/>
      <c r="E415" s="30">
        <f>64.09339</f>
        <v>64.093389999999999</v>
      </c>
      <c r="F415" s="30">
        <f>588.99839</f>
        <v>588.99838999999997</v>
      </c>
      <c r="G415" s="99"/>
      <c r="H415" s="30">
        <f>525.39278</f>
        <v>525.39278000000002</v>
      </c>
      <c r="I415" s="152"/>
      <c r="J415" s="132"/>
    </row>
    <row r="416" spans="1:10" ht="14.1" customHeight="1" x14ac:dyDescent="0.25">
      <c r="A416" s="216"/>
      <c r="B416" s="74"/>
      <c r="C416" s="29" t="s">
        <v>11</v>
      </c>
      <c r="D416" s="219"/>
      <c r="E416" s="30">
        <f>19.3469</f>
        <v>19.346900000000002</v>
      </c>
      <c r="F416" s="30">
        <f>186.49869</f>
        <v>186.49869000000001</v>
      </c>
      <c r="G416" s="110"/>
      <c r="H416" s="30">
        <f>155.46677</f>
        <v>155.46677</v>
      </c>
      <c r="I416" s="152"/>
      <c r="J416" s="132"/>
    </row>
    <row r="417" spans="1:10" ht="14.1" customHeight="1" x14ac:dyDescent="0.25">
      <c r="A417" s="216"/>
      <c r="B417" s="74"/>
      <c r="C417" s="263" t="s">
        <v>119</v>
      </c>
      <c r="D417" s="10">
        <v>0</v>
      </c>
      <c r="E417" s="36">
        <f>SUM(E418:E419)</f>
        <v>0</v>
      </c>
      <c r="F417" s="36">
        <f>SUM(F418:F419)</f>
        <v>0</v>
      </c>
      <c r="G417" s="87">
        <f>D417-F417</f>
        <v>0</v>
      </c>
      <c r="H417" s="36">
        <f>SUM(H418:H419)</f>
        <v>0</v>
      </c>
      <c r="I417" s="152"/>
      <c r="J417" s="132"/>
    </row>
    <row r="418" spans="1:10" ht="14.1" customHeight="1" x14ac:dyDescent="0.25">
      <c r="A418" s="216"/>
      <c r="B418" s="74"/>
      <c r="C418" s="29" t="s">
        <v>8</v>
      </c>
      <c r="D418" s="44"/>
      <c r="E418" s="30">
        <f>0</f>
        <v>0</v>
      </c>
      <c r="F418" s="30">
        <f>0</f>
        <v>0</v>
      </c>
      <c r="G418" s="99"/>
      <c r="H418" s="30">
        <f>0</f>
        <v>0</v>
      </c>
      <c r="I418" s="152"/>
      <c r="J418" s="132"/>
    </row>
    <row r="419" spans="1:10" ht="14.1" customHeight="1" x14ac:dyDescent="0.25">
      <c r="A419" s="216"/>
      <c r="B419" s="74"/>
      <c r="C419" s="29" t="s">
        <v>11</v>
      </c>
      <c r="D419" s="219"/>
      <c r="E419" s="30">
        <f>0</f>
        <v>0</v>
      </c>
      <c r="F419" s="30">
        <f>0</f>
        <v>0</v>
      </c>
      <c r="G419" s="110"/>
      <c r="H419" s="30">
        <f>0</f>
        <v>0</v>
      </c>
      <c r="I419" s="152"/>
      <c r="J419" s="132"/>
    </row>
    <row r="420" spans="1:10" ht="14.1" customHeight="1" x14ac:dyDescent="0.25">
      <c r="A420" s="216"/>
      <c r="B420" s="74"/>
      <c r="C420" s="277" t="s">
        <v>98</v>
      </c>
      <c r="D420" s="37"/>
      <c r="E420" s="39"/>
      <c r="F420" s="39"/>
      <c r="G420" s="40"/>
      <c r="H420" s="39"/>
      <c r="I420" s="152"/>
      <c r="J420" s="132"/>
    </row>
    <row r="421" spans="1:10" ht="14.1" customHeight="1" x14ac:dyDescent="0.25">
      <c r="A421" s="216"/>
      <c r="B421" s="74"/>
      <c r="C421" s="283" t="s">
        <v>88</v>
      </c>
      <c r="D421" s="41">
        <f>D411+D414+D417</f>
        <v>3361</v>
      </c>
      <c r="E421" s="42">
        <f>E411+E414+E417+E420</f>
        <v>83.440290000000005</v>
      </c>
      <c r="F421" s="42">
        <f>F411+F414+F417+F420</f>
        <v>2972.34521</v>
      </c>
      <c r="G421" s="43">
        <f>SUM(G411:G420)</f>
        <v>388.65479000000016</v>
      </c>
      <c r="H421" s="42">
        <f>H411+H414+H417+H420</f>
        <v>2068.49188</v>
      </c>
      <c r="I421" s="27"/>
      <c r="J421" s="132"/>
    </row>
    <row r="422" spans="1:10" ht="14.1" customHeight="1" x14ac:dyDescent="0.25">
      <c r="A422" s="216"/>
      <c r="B422" s="74"/>
      <c r="C422" s="152"/>
      <c r="D422" s="159"/>
      <c r="E422" s="152"/>
      <c r="F422" s="152"/>
      <c r="G422" s="152"/>
      <c r="H422" s="152"/>
      <c r="I422" s="152"/>
      <c r="J422" s="132"/>
    </row>
    <row r="423" spans="1:10" ht="14.1" customHeight="1" x14ac:dyDescent="0.25">
      <c r="A423" s="216"/>
      <c r="B423" s="8"/>
      <c r="C423" s="212"/>
      <c r="D423" s="202"/>
      <c r="E423" s="212"/>
      <c r="F423" s="212"/>
      <c r="G423" s="212"/>
      <c r="H423" s="212"/>
      <c r="I423" s="212"/>
      <c r="J423" s="12"/>
    </row>
    <row r="424" spans="1:10" ht="0" hidden="1" customHeight="1" x14ac:dyDescent="0.25"/>
    <row r="425" spans="1:10" ht="0" hidden="1" customHeight="1" x14ac:dyDescent="0.25"/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16.5" customHeight="1" x14ac:dyDescent="0.25"/>
  </sheetData>
  <mergeCells count="11">
    <mergeCell ref="B2:J2"/>
    <mergeCell ref="B9:J9"/>
    <mergeCell ref="C11:D11"/>
    <mergeCell ref="E11:F11"/>
    <mergeCell ref="G11:H11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25&amp;R26.06.2023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2023-06-26T08:23:13Z</dcterms:modified>
</cp:coreProperties>
</file>