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"/>
    </mc:Choice>
  </mc:AlternateContent>
  <xr:revisionPtr revIDLastSave="0" documentId="13_ncr:1_{D7D661AE-44C6-4BB0-82A9-0DFC1DB6C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E413" i="1" s="1"/>
  <c r="E423" i="1" s="1"/>
  <c r="H414" i="1"/>
  <c r="F414" i="1"/>
  <c r="F413" i="1" s="1"/>
  <c r="E414" i="1"/>
  <c r="H413" i="1"/>
  <c r="H423" i="1" s="1"/>
  <c r="I390" i="1"/>
  <c r="H390" i="1"/>
  <c r="G390" i="1"/>
  <c r="F390" i="1"/>
  <c r="I389" i="1"/>
  <c r="H389" i="1"/>
  <c r="G389" i="1"/>
  <c r="F389" i="1"/>
  <c r="I388" i="1"/>
  <c r="I386" i="1" s="1"/>
  <c r="G388" i="1"/>
  <c r="G386" i="1" s="1"/>
  <c r="F388" i="1"/>
  <c r="I387" i="1"/>
  <c r="G387" i="1"/>
  <c r="F387" i="1"/>
  <c r="F386" i="1" s="1"/>
  <c r="I385" i="1"/>
  <c r="H385" i="1"/>
  <c r="G385" i="1"/>
  <c r="F385" i="1"/>
  <c r="I384" i="1"/>
  <c r="H384" i="1"/>
  <c r="G384" i="1"/>
  <c r="F384" i="1"/>
  <c r="I383" i="1"/>
  <c r="I380" i="1" s="1"/>
  <c r="H383" i="1"/>
  <c r="H380" i="1" s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G380" i="1"/>
  <c r="D380" i="1"/>
  <c r="D391" i="1" s="1"/>
  <c r="H372" i="1"/>
  <c r="F372" i="1"/>
  <c r="H354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F207" i="1"/>
  <c r="D207" i="1"/>
  <c r="G207" i="1" s="1"/>
  <c r="H206" i="1"/>
  <c r="G206" i="1"/>
  <c r="F206" i="1"/>
  <c r="E206" i="1"/>
  <c r="H205" i="1"/>
  <c r="G205" i="1"/>
  <c r="F205" i="1"/>
  <c r="E205" i="1"/>
  <c r="H204" i="1"/>
  <c r="G204" i="1"/>
  <c r="F204" i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E184" i="1" s="1"/>
  <c r="H177" i="1"/>
  <c r="G177" i="1"/>
  <c r="F177" i="1"/>
  <c r="E177" i="1"/>
  <c r="H176" i="1"/>
  <c r="F176" i="1"/>
  <c r="E176" i="1"/>
  <c r="H175" i="1"/>
  <c r="H184" i="1" s="1"/>
  <c r="F175" i="1"/>
  <c r="E175" i="1"/>
  <c r="D169" i="1"/>
  <c r="D167" i="1"/>
  <c r="I148" i="1"/>
  <c r="G148" i="1"/>
  <c r="H148" i="1" s="1"/>
  <c r="F148" i="1"/>
  <c r="I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F140" i="1"/>
  <c r="I139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H135" i="1"/>
  <c r="F135" i="1"/>
  <c r="F134" i="1" s="1"/>
  <c r="F133" i="1" s="1"/>
  <c r="G134" i="1"/>
  <c r="G133" i="1" s="1"/>
  <c r="E134" i="1"/>
  <c r="E133" i="1" s="1"/>
  <c r="E150" i="1" s="1"/>
  <c r="D134" i="1"/>
  <c r="D133" i="1" s="1"/>
  <c r="I132" i="1"/>
  <c r="H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E128" i="1"/>
  <c r="D128" i="1"/>
  <c r="C126" i="1"/>
  <c r="I106" i="1"/>
  <c r="G106" i="1"/>
  <c r="H106" i="1" s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I94" i="1"/>
  <c r="G94" i="1"/>
  <c r="H94" i="1" s="1"/>
  <c r="F94" i="1"/>
  <c r="I93" i="1"/>
  <c r="G93" i="1"/>
  <c r="H93" i="1" s="1"/>
  <c r="F93" i="1"/>
  <c r="I92" i="1"/>
  <c r="I107" i="1" s="1"/>
  <c r="G92" i="1"/>
  <c r="G107" i="1" s="1"/>
  <c r="F92" i="1"/>
  <c r="E92" i="1"/>
  <c r="D92" i="1"/>
  <c r="D107" i="1" s="1"/>
  <c r="C89" i="1"/>
  <c r="H85" i="1"/>
  <c r="F85" i="1"/>
  <c r="D85" i="1"/>
  <c r="G61" i="1"/>
  <c r="G60" i="1"/>
  <c r="H55" i="1"/>
  <c r="I32" i="1" s="1"/>
  <c r="F55" i="1"/>
  <c r="G32" i="1" s="1"/>
  <c r="E55" i="1"/>
  <c r="I43" i="1"/>
  <c r="G43" i="1"/>
  <c r="H43" i="1" s="1"/>
  <c r="F43" i="1"/>
  <c r="H42" i="1"/>
  <c r="I41" i="1"/>
  <c r="H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I34" i="1" s="1"/>
  <c r="I26" i="1" s="1"/>
  <c r="G35" i="1"/>
  <c r="H35" i="1" s="1"/>
  <c r="F35" i="1"/>
  <c r="F34" i="1" s="1"/>
  <c r="F26" i="1" s="1"/>
  <c r="E35" i="1"/>
  <c r="D34" i="1"/>
  <c r="I33" i="1"/>
  <c r="H33" i="1"/>
  <c r="G33" i="1"/>
  <c r="F33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I27" i="1" s="1"/>
  <c r="H28" i="1"/>
  <c r="G28" i="1"/>
  <c r="F28" i="1"/>
  <c r="F27" i="1"/>
  <c r="E27" i="1"/>
  <c r="D27" i="1"/>
  <c r="D26" i="1" s="1"/>
  <c r="E26" i="1"/>
  <c r="I25" i="1"/>
  <c r="H25" i="1"/>
  <c r="H23" i="1" s="1"/>
  <c r="G25" i="1"/>
  <c r="F25" i="1"/>
  <c r="I24" i="1"/>
  <c r="H24" i="1"/>
  <c r="G24" i="1"/>
  <c r="G23" i="1" s="1"/>
  <c r="F24" i="1"/>
  <c r="F23" i="1" s="1"/>
  <c r="I23" i="1"/>
  <c r="E23" i="1"/>
  <c r="E44" i="1" s="1"/>
  <c r="D23" i="1"/>
  <c r="H16" i="1"/>
  <c r="F16" i="1"/>
  <c r="D16" i="1"/>
  <c r="G150" i="1" l="1"/>
  <c r="H134" i="1"/>
  <c r="H133" i="1" s="1"/>
  <c r="H150" i="1" s="1"/>
  <c r="I44" i="1"/>
  <c r="G34" i="1"/>
  <c r="G26" i="1" s="1"/>
  <c r="G44" i="1" s="1"/>
  <c r="G295" i="1"/>
  <c r="F299" i="1"/>
  <c r="G299" i="1" s="1"/>
  <c r="F184" i="1"/>
  <c r="G184" i="1" s="1"/>
  <c r="H386" i="1"/>
  <c r="G391" i="1"/>
  <c r="F150" i="1"/>
  <c r="H32" i="1"/>
  <c r="H27" i="1" s="1"/>
  <c r="G27" i="1"/>
  <c r="H391" i="1"/>
  <c r="H92" i="1"/>
  <c r="H107" i="1" s="1"/>
  <c r="G249" i="1"/>
  <c r="F253" i="1"/>
  <c r="G253" i="1" s="1"/>
  <c r="I391" i="1"/>
  <c r="D150" i="1"/>
  <c r="D44" i="1"/>
  <c r="F44" i="1"/>
  <c r="F107" i="1"/>
  <c r="F423" i="1"/>
  <c r="G413" i="1"/>
  <c r="H97" i="1"/>
  <c r="H96" i="1" s="1"/>
  <c r="H95" i="1" s="1"/>
  <c r="H147" i="1"/>
  <c r="G175" i="1"/>
  <c r="G55" i="1"/>
  <c r="H34" i="1" l="1"/>
  <c r="H26" i="1" s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<sst xmlns="http://schemas.openxmlformats.org/spreadsheetml/2006/main" count="359" uniqueCount="152">
  <si>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</si>
  <si>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</si>
  <si>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</si>
  <si>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</si>
  <si>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</si>
  <si>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</si>
  <si>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</si>
  <si>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</si>
  <si>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</si>
  <si>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</si>
  <si>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</si>
  <si>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</si>
  <si>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</si>
  <si>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</si>
  <si>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</si>
  <si>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</si>
  <si>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</si>
  <si>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</si>
  <si>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</si>
  <si>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</si>
  <si>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</si>
  <si>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</si>
  <si>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</si>
  <si>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</si>
  <si>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</si>
  <si>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</si>
  <si>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</si>
  <si>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</si>
  <si>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</si>
  <si>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</si>
  <si>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</si>
  <si>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</si>
  <si>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</si>
  <si>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</si>
  <si>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</si>
  <si>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</si>
  <si>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</si>
  <si>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</si>
  <si>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</si>
  <si>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</si>
  <si>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</si>
  <si>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</si>
  <si>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</si>
  <si>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</si>
  <si>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</si>
  <si>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</si>
  <si>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</si>
  <si>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</si>
  <si>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</si>
  <si>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</si>
  <si>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</si>
  <si>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</si>
  <si>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</si>
  <si>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</si>
  <si>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</si>
  <si>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</si>
  <si>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</si>
  <si>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</si>
  <si>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</si>
  <si>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</si>
  <si>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</si>
  <si>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</si>
  <si>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</si>
  <si>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</si>
  <si>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</si>
  <si>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</si>
  <si>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</si>
  <si>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</si>
  <si>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</si>
  <si>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</si>
  <si>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</si>
  <si>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</si>
  <si>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</si>
  <si>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</si>
  <si>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</si>
  <si>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</si>
  <si>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</si>
  <si>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</si>
  <si>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</si>
  <si>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</si>
  <si>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</si>
  <si>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</si>
  <si>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</si>
  <si>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</si>
  <si>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</si>
  <si>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</si>
  <si>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</si>
  <si>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</si>
  <si>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</si>
  <si>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</si>
  <si>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</si>
  <si>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</si>
  <si>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</si>
  <si>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</si>
  <si>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</si>
  <si>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</si>
  <si>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</si>
  <si>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</si>
  <si>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</si>
  <si>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</si>
  <si>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</si>
  <si>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</si>
  <si>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</si>
  <si>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</si>
  <si>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</si>
  <si>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</si>
  <si>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</si>
  <si>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</si>
  <si>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</si>
  <si>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</si>
  <si>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</si>
  <si>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</si>
  <si>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</si>
  <si>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</si>
  <si>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</si>
  <si>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</si>
  <si>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</si>
  <si>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</si>
  <si>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</si>
  <si>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</si>
  <si>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</si>
  <si>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</si>
  <si>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</si>
  <si>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</si>
  <si>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</si>
  <si>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</si>
  <si>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</si>
  <si>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</si>
  <si>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</si>
  <si>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</si>
  <si>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</si>
  <si>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</si>
  <si>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</si>
  <si>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</si>
  <si>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</si>
  <si>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</si>
  <si>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</si>
  <si>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</si>
  <si>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</si>
  <si>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</si>
  <si>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</si>
  <si>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</si>
  <si>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</si>
  <si>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</si>
  <si>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13</t>
  </si>
  <si>
    <t>FANGST T.O.M UKE 13</t>
  </si>
  <si>
    <t>RESTKVOTER UKE 13</t>
  </si>
  <si>
    <t>FANGST T.O.M UKE 13 2023</t>
  </si>
  <si>
    <r>
      <t xml:space="preserve">3 </t>
    </r>
    <r>
      <rPr>
        <sz val="9"/>
        <color indexed="8"/>
        <rFont val="Calibri"/>
        <family val="2"/>
      </rPr>
      <t>Registrert rekreasjonsfiske utgjør 391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</si>
  <si>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</si>
  <si>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120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</si>
  <si>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1 092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</si>
</sst>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J10" sqref="J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216.40950000000001</v>
      </c>
      <c r="G23" s="28">
        <f t="shared" si="0"/>
        <v>24990.26022</v>
      </c>
      <c r="H23" s="11">
        <f t="shared" si="0"/>
        <v>35821.739779999996</v>
      </c>
      <c r="I23" s="11">
        <f t="shared" si="0"/>
        <v>31337.13076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216.4095</f>
        <v>216.40950000000001</v>
      </c>
      <c r="G24" s="23">
        <f>24705.57093</f>
        <v>24705.570930000002</v>
      </c>
      <c r="H24" s="23">
        <f>E24-G24</f>
        <v>35336.429069999998</v>
      </c>
      <c r="I24" s="23">
        <f>31220.31826</f>
        <v>31220.31826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284.68929</f>
        <v>284.68929000000003</v>
      </c>
      <c r="H25" s="23">
        <f>E25-G25</f>
        <v>485.31070999999997</v>
      </c>
      <c r="I25" s="23">
        <f>116.8125</f>
        <v>116.8125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7988.3655200000003</v>
      </c>
      <c r="G26" s="11">
        <f t="shared" si="1"/>
        <v>90411.10553999999</v>
      </c>
      <c r="H26" s="11">
        <f t="shared" si="1"/>
        <v>54462.894459999996</v>
      </c>
      <c r="I26" s="11">
        <f t="shared" si="1"/>
        <v>107730.35752000001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6622.9779400000007</v>
      </c>
      <c r="G27" s="132">
        <f t="shared" ref="G27:I27" si="2">G28+G29+G30+G31+G32</f>
        <v>77384.612859999994</v>
      </c>
      <c r="H27" s="132">
        <f t="shared" si="2"/>
        <v>35593.387139999999</v>
      </c>
      <c r="I27" s="132">
        <f t="shared" si="2"/>
        <v>88506.805930000002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2481.19063</f>
        <v>2481.1906300000001</v>
      </c>
      <c r="G28" s="127">
        <f>19982.672 - F56</f>
        <v>19982.671999999999</v>
      </c>
      <c r="H28" s="127">
        <f t="shared" ref="H28:H40" si="3">E28-G28</f>
        <v>8647.3280000000013</v>
      </c>
      <c r="I28" s="127">
        <f>23210.85795 - H56</f>
        <v>23210.857950000001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1673.93766</f>
        <v>1673.9376600000001</v>
      </c>
      <c r="G29" s="127">
        <f>22810.13511 - F57</f>
        <v>22810.135109999999</v>
      </c>
      <c r="H29" s="127">
        <f t="shared" si="3"/>
        <v>6854.8648900000007</v>
      </c>
      <c r="I29" s="127">
        <f>26849.35601 - H57</f>
        <v>26849.35601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1534.95945</f>
        <v>1534.9594500000001</v>
      </c>
      <c r="G30" s="127">
        <f>19515.97243 - F58</f>
        <v>19515.972430000002</v>
      </c>
      <c r="H30" s="127">
        <f t="shared" si="3"/>
        <v>7728.0275699999984</v>
      </c>
      <c r="I30" s="127">
        <f>21872.11075 - H58</f>
        <v>21872.11075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932.8902</f>
        <v>932.89020000000005</v>
      </c>
      <c r="G31" s="127">
        <f>15075.83332 - F59</f>
        <v>15075.83332</v>
      </c>
      <c r="H31" s="127">
        <f t="shared" si="3"/>
        <v>4263.1666800000003</v>
      </c>
      <c r="I31" s="127">
        <f>16574.48122 - H59</f>
        <v>16574.481220000001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41.96978</f>
        <v>41.96978</v>
      </c>
      <c r="G33" s="132">
        <f>5190.12042</f>
        <v>5190.1204200000002</v>
      </c>
      <c r="H33" s="132">
        <f t="shared" si="3"/>
        <v>11668.879580000001</v>
      </c>
      <c r="I33" s="132">
        <f>7909.97282</f>
        <v>7909.97282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1323.4177999999999</v>
      </c>
      <c r="G34" s="132">
        <f>G35+G36</f>
        <v>7836.3722600000001</v>
      </c>
      <c r="H34" s="132">
        <f t="shared" si="3"/>
        <v>7200.6277399999999</v>
      </c>
      <c r="I34" s="132">
        <f>I35+I36</f>
        <v>11313.57877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1323.4178</f>
        <v>1323.4177999999999</v>
      </c>
      <c r="G35" s="132">
        <f>9014.37226 - F60 - F61</f>
        <v>7836.3722600000001</v>
      </c>
      <c r="H35" s="127">
        <f t="shared" si="3"/>
        <v>6240.6277399999999</v>
      </c>
      <c r="I35" s="127">
        <f>12182.57877 - H60 - H61</f>
        <v>11313.57877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28.7888</f>
        <v>28.788799999999998</v>
      </c>
      <c r="G37" s="139">
        <f>58.5676</f>
        <v>58.567599999999999</v>
      </c>
      <c r="H37" s="139">
        <f t="shared" si="3"/>
        <v>1941.4323999999999</v>
      </c>
      <c r="I37" s="139">
        <f>163.1824</f>
        <v>163.1824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14.6751</f>
        <v>14.6751</v>
      </c>
      <c r="G38" s="98">
        <f>356.33244</f>
        <v>356.33244000000002</v>
      </c>
      <c r="H38" s="98">
        <f t="shared" si="3"/>
        <v>498.66755999999998</v>
      </c>
      <c r="I38" s="98">
        <f>361.80668</f>
        <v>361.80667999999997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233</v>
      </c>
      <c r="G39" s="98">
        <f>F61</f>
        <v>1178</v>
      </c>
      <c r="H39" s="98">
        <f t="shared" si="3"/>
        <v>1822</v>
      </c>
      <c r="I39" s="98">
        <f>H61</f>
        <v>869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42.02068</f>
        <v>42.020679999999999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41.1135</f>
        <v>41.113500000000002</v>
      </c>
      <c r="G41" s="98">
        <f>207.02745</f>
        <v>207.02744999999999</v>
      </c>
      <c r="H41" s="98">
        <f>E41-G41</f>
        <v>192.97255000000001</v>
      </c>
      <c r="I41" s="98">
        <f>156.343</f>
        <v>156.34299999999999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85.91026</f>
        <v>85.910259999999994</v>
      </c>
      <c r="H43" s="139">
        <f t="shared" ref="H43" si="4">E43-G43</f>
        <v>-85.910259999999994</v>
      </c>
      <c r="I43" s="139">
        <f>17.0025</f>
        <v>17.002500000000001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8564.3731000000007</v>
      </c>
      <c r="G44" s="76">
        <f t="shared" si="5"/>
        <v>124287.20750999998</v>
      </c>
      <c r="H44" s="76">
        <f t="shared" si="5"/>
        <v>94753.792489999993</v>
      </c>
      <c r="I44" s="76">
        <f t="shared" si="5"/>
        <v>147634.82285999999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233</v>
      </c>
      <c r="F61" s="139">
        <v>1178</v>
      </c>
      <c r="G61" s="139">
        <f>D61-F61</f>
        <v>1822</v>
      </c>
      <c r="H61" s="139">
        <v>869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811.0172</v>
      </c>
      <c r="G92" s="11">
        <f t="shared" si="6"/>
        <v>17391.71212</v>
      </c>
      <c r="H92" s="11">
        <f t="shared" si="6"/>
        <v>8569.2878800000017</v>
      </c>
      <c r="I92" s="11">
        <f t="shared" si="6"/>
        <v>22161.42771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811.0172</f>
        <v>811.0172</v>
      </c>
      <c r="G93" s="23">
        <f>17021.11007</f>
        <v>17021.110069999999</v>
      </c>
      <c r="H93" s="23">
        <f>E93-G93</f>
        <v>8114.8899300000012</v>
      </c>
      <c r="I93" s="23">
        <f>21885.16011</f>
        <v>21885.160110000001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370.60205</f>
        <v>370.60205000000002</v>
      </c>
      <c r="H94" s="50">
        <f>E94-G94</f>
        <v>454.39794999999998</v>
      </c>
      <c r="I94" s="50">
        <f>276.2676</f>
        <v>276.26760000000002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628.56376999999998</v>
      </c>
      <c r="G95" s="11">
        <f t="shared" si="7"/>
        <v>15954.443609999998</v>
      </c>
      <c r="H95" s="11">
        <f t="shared" si="7"/>
        <v>33039.556389999998</v>
      </c>
      <c r="I95" s="11">
        <f t="shared" si="7"/>
        <v>11336.206459999999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552.55799999999999</v>
      </c>
      <c r="G96" s="132">
        <f t="shared" si="8"/>
        <v>11147.035539999999</v>
      </c>
      <c r="H96" s="132">
        <f t="shared" si="8"/>
        <v>26346.964459999999</v>
      </c>
      <c r="I96" s="132">
        <f t="shared" si="8"/>
        <v>7146.3045000000002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153.06741</f>
        <v>153.06741</v>
      </c>
      <c r="G97" s="127">
        <f>2810.12604</f>
        <v>2810.1260400000001</v>
      </c>
      <c r="H97" s="127">
        <f t="shared" ref="H97:H104" si="9">E97-G97</f>
        <v>7204.8739599999999</v>
      </c>
      <c r="I97" s="127">
        <f>1506.62898</f>
        <v>1506.62898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90.80299</f>
        <v>90.802989999999994</v>
      </c>
      <c r="G98" s="127">
        <f>3877.94375</f>
        <v>3877.9437499999999</v>
      </c>
      <c r="H98" s="127">
        <f t="shared" si="9"/>
        <v>6736.0562499999996</v>
      </c>
      <c r="I98" s="127">
        <f>2049.42812</f>
        <v>2049.42812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169.4729</f>
        <v>169.47290000000001</v>
      </c>
      <c r="G99" s="127">
        <f>2845.38408</f>
        <v>2845.3840799999998</v>
      </c>
      <c r="H99" s="127">
        <f t="shared" si="9"/>
        <v>7266.6159200000002</v>
      </c>
      <c r="I99" s="127">
        <f>1688.38214</f>
        <v>1688.3821399999999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139.2147</f>
        <v>139.21469999999999</v>
      </c>
      <c r="G100" s="127">
        <f>1613.58167</f>
        <v>1613.58167</v>
      </c>
      <c r="H100" s="127">
        <f t="shared" si="9"/>
        <v>5139.4183300000004</v>
      </c>
      <c r="I100" s="127">
        <f>1901.86526</f>
        <v>1901.86526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20.20346</f>
        <v>20.20346</v>
      </c>
      <c r="G101" s="132">
        <f>3530.05003</f>
        <v>3530.0500299999999</v>
      </c>
      <c r="H101" s="132">
        <f t="shared" si="9"/>
        <v>4065.9499700000001</v>
      </c>
      <c r="I101" s="132">
        <f>3338.71843</f>
        <v>3338.7184299999999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55.80231</f>
        <v>55.802309999999999</v>
      </c>
      <c r="G102" s="75">
        <f>1277.35804</f>
        <v>1277.3580400000001</v>
      </c>
      <c r="H102" s="75">
        <f t="shared" si="9"/>
        <v>2626.6419599999999</v>
      </c>
      <c r="I102" s="75">
        <f>851.18353</f>
        <v>851.18353000000002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1.13533</f>
        <v>1.13533</v>
      </c>
      <c r="G103" s="98">
        <f>28.10996</f>
        <v>28.109960000000001</v>
      </c>
      <c r="H103" s="98">
        <f t="shared" si="9"/>
        <v>290.89004</v>
      </c>
      <c r="I103" s="98">
        <f>11.12916</f>
        <v>11.129160000000001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2.97217</f>
        <v>2.9721700000000002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0.9544</f>
        <v>0.95440000000000003</v>
      </c>
      <c r="G105" s="98">
        <f>8.92194</f>
        <v>8.9219399999999993</v>
      </c>
      <c r="H105" s="139">
        <f>E105-G105</f>
        <v>41.078060000000001</v>
      </c>
      <c r="I105" s="98">
        <f>4.33108</f>
        <v>4.33108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0.28</f>
        <v>0.28000000000000003</v>
      </c>
      <c r="G106" s="139">
        <f>13.28324</f>
        <v>13.283239999999999</v>
      </c>
      <c r="H106" s="139">
        <f t="shared" ref="H106" si="10">E106-G106</f>
        <v>-13.283239999999999</v>
      </c>
      <c r="I106" s="139">
        <f>9.38068</f>
        <v>9.3806799999999999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1444.9228700000001</v>
      </c>
      <c r="G107" s="76">
        <f t="shared" si="12"/>
        <v>33696.470869999997</v>
      </c>
      <c r="H107" s="76">
        <f t="shared" si="12"/>
        <v>41927.529130000003</v>
      </c>
      <c r="I107" s="76">
        <f t="shared" si="12"/>
        <v>33822.47509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149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445.88710000000003</v>
      </c>
      <c r="G128" s="11">
        <f t="shared" si="13"/>
        <v>25655.01137</v>
      </c>
      <c r="H128" s="11">
        <f t="shared" si="13"/>
        <v>46651.98863</v>
      </c>
      <c r="I128" s="11">
        <f t="shared" si="13"/>
        <v>25655.461519999997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445.8321</f>
        <v>445.83210000000003</v>
      </c>
      <c r="G129" s="23">
        <f>22749.57458</f>
        <v>22749.57458</v>
      </c>
      <c r="H129" s="23">
        <f>E129-G129</f>
        <v>34812.42542</v>
      </c>
      <c r="I129" s="23">
        <f>22332.94419</f>
        <v>22332.944189999998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2842.48164</f>
        <v>2842.48164</v>
      </c>
      <c r="H130" s="23">
        <f>E130-G130</f>
        <v>11402.51836</v>
      </c>
      <c r="I130" s="23">
        <f>3209.63108</f>
        <v>3209.6310800000001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0.055</f>
        <v>5.5E-2</v>
      </c>
      <c r="G131" s="23">
        <f>62.95515</f>
        <v>62.955150000000003</v>
      </c>
      <c r="H131" s="55">
        <f>E131-G131</f>
        <v>437.04485</v>
      </c>
      <c r="I131" s="23">
        <f>112.88625</f>
        <v>112.88625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0.02</f>
        <v>0.02</v>
      </c>
      <c r="G132" s="95">
        <f>21.8122+1092.345635</f>
        <v>1114.157835</v>
      </c>
      <c r="H132" s="95">
        <f>E132-G132</f>
        <v>51381.842165000002</v>
      </c>
      <c r="I132" s="95">
        <f>138.14053</f>
        <v>138.14053000000001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1416.8305300000002</v>
      </c>
      <c r="G133" s="94">
        <f t="shared" ref="G133" si="14">G134+G139+G142</f>
        <v>36543.733895000005</v>
      </c>
      <c r="H133" s="94">
        <f>H134+H139+H142</f>
        <v>43621.266105000002</v>
      </c>
      <c r="I133" s="94">
        <f>I134+I139+I142</f>
        <v>35126.257939999996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901.48404000000005</v>
      </c>
      <c r="G134" s="125">
        <f>G135+G136+G138+G137</f>
        <v>27620.577215000001</v>
      </c>
      <c r="H134" s="125">
        <f>H135+H136+H137+H138</f>
        <v>31458.422785000002</v>
      </c>
      <c r="I134" s="125">
        <f>I135+I136+I137+I138</f>
        <v>28463.269200000002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158.24155</f>
        <v>158.24154999999999</v>
      </c>
      <c r="G135" s="127">
        <v>5225.1616299999996</v>
      </c>
      <c r="H135" s="127">
        <f>E135-G135</f>
        <v>12548.838370000001</v>
      </c>
      <c r="I135" s="127">
        <f>4205.37398</f>
        <v>4205.3739800000003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131.79487</f>
        <v>131.79487</v>
      </c>
      <c r="G136" s="127">
        <v>8879.6960250000011</v>
      </c>
      <c r="H136" s="127">
        <f>E136-G136</f>
        <v>6059.3039749999989</v>
      </c>
      <c r="I136" s="127">
        <f>8458.04153</f>
        <v>8458.0415300000004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286.0722</f>
        <v>286.07220000000001</v>
      </c>
      <c r="G137" s="127">
        <v>6954.7566299999999</v>
      </c>
      <c r="H137" s="127">
        <f>E137-G137</f>
        <v>6096.2433700000001</v>
      </c>
      <c r="I137" s="127">
        <f>7182.26738</f>
        <v>7182.2673800000002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325.37542</f>
        <v>325.37542000000002</v>
      </c>
      <c r="G138" s="127">
        <v>6560.9629299999997</v>
      </c>
      <c r="H138" s="127">
        <f>E138-G138</f>
        <v>6754.0370700000003</v>
      </c>
      <c r="I138" s="127">
        <f>8617.58631</f>
        <v>8617.5863100000006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412.46746000000002</v>
      </c>
      <c r="G139" s="132">
        <f>SUM(G140:G141)</f>
        <v>6729.59656</v>
      </c>
      <c r="H139" s="132">
        <f>H140+H141</f>
        <v>2200.40344</v>
      </c>
      <c r="I139" s="132">
        <f>SUM(I140:I141)</f>
        <v>4908.2319799999996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408.02386</f>
        <v>408.02386000000001</v>
      </c>
      <c r="G140" s="127">
        <f>6589.57042</f>
        <v>6589.57042</v>
      </c>
      <c r="H140" s="127">
        <f t="shared" ref="H140:H148" si="15">E140-G140</f>
        <v>1840.42958</v>
      </c>
      <c r="I140" s="127">
        <f>4809.86104</f>
        <v>4809.8610399999998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4.4436</f>
        <v>4.4436</v>
      </c>
      <c r="G141" s="127">
        <f>140.02614</f>
        <v>140.02614</v>
      </c>
      <c r="H141" s="127">
        <f t="shared" si="15"/>
        <v>359.97386</v>
      </c>
      <c r="I141" s="127">
        <f>98.37094</f>
        <v>98.370940000000004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102.87903</f>
        <v>102.87903</v>
      </c>
      <c r="G142" s="75">
        <f>2193.56012</f>
        <v>2193.5601200000001</v>
      </c>
      <c r="H142" s="75">
        <f t="shared" si="15"/>
        <v>9962.4398799999999</v>
      </c>
      <c r="I142" s="75">
        <f>1754.75676</f>
        <v>1754.75676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1.9374</f>
        <v>1.9374</v>
      </c>
      <c r="G143" s="139">
        <f>12.25968</f>
        <v>12.259679999999999</v>
      </c>
      <c r="H143" s="139">
        <f t="shared" si="15"/>
        <v>133.74032</v>
      </c>
      <c r="I143" s="139">
        <f>17.91241</f>
        <v>17.912410000000001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6.22997</f>
        <v>6.2299699999999998</v>
      </c>
      <c r="G145" s="139">
        <f>120.30778</f>
        <v>120.30777999999999</v>
      </c>
      <c r="H145" s="139">
        <f t="shared" si="15"/>
        <v>1879.6922199999999</v>
      </c>
      <c r="I145" s="139">
        <f>116.3446</f>
        <v>116.3446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1.2871</f>
        <v>1.2870999999999999</v>
      </c>
      <c r="G147" s="98">
        <f>21.16223</f>
        <v>21.162230000000001</v>
      </c>
      <c r="H147" s="139">
        <f t="shared" si="15"/>
        <v>254.83777000000001</v>
      </c>
      <c r="I147" s="98">
        <f>17.1532</f>
        <v>17.153199999999998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109.82069</f>
        <v>109.82069</v>
      </c>
      <c r="H148" s="139">
        <f t="shared" si="15"/>
        <v>-109.82069</v>
      </c>
      <c r="I148" s="139">
        <f>61.2548</f>
        <v>61.254800000000003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1872.1921000000002</v>
      </c>
      <c r="G150" s="76">
        <f>G128+G132+G133+G143+G144+G145+G146+G147+G148</f>
        <v>63576.453480000011</v>
      </c>
      <c r="H150" s="76">
        <f>H128+H132+H133+H143+H144+H145+H146+H147+H148</f>
        <v>144063.54652000003</v>
      </c>
      <c r="I150" s="76">
        <f>I128+I132+I133+I143+I144+I145+I146+I147+I148</f>
        <v>61132.524999999994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150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7.32044</f>
        <v>7.3204399999999996</v>
      </c>
      <c r="F175" s="275">
        <f>274.64937</f>
        <v>274.64936999999998</v>
      </c>
      <c r="G175" s="43">
        <f>D175-F175-F176</f>
        <v>3687.38832</v>
      </c>
      <c r="H175" s="275">
        <f>456.28807</f>
        <v>456.28807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260.96231</f>
        <v>260.96231</v>
      </c>
      <c r="G176" s="216"/>
      <c r="H176" s="152">
        <f>170.2337</f>
        <v>170.2337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23.92866</f>
        <v>23.928660000000001</v>
      </c>
      <c r="G177" s="172">
        <f>D177-F177</f>
        <v>176.07133999999999</v>
      </c>
      <c r="H177" s="172">
        <f>22.40974</f>
        <v>22.409739999999999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4.5201399999999996</v>
      </c>
      <c r="F178" s="181">
        <f>F179+F180+F181</f>
        <v>37.121209999999998</v>
      </c>
      <c r="G178" s="181">
        <f>D178-F178</f>
        <v>6296.8787899999998</v>
      </c>
      <c r="H178" s="181">
        <f>H179+H180+H181</f>
        <v>16.77956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3.49516</f>
        <v>3.4951599999999998</v>
      </c>
      <c r="F179" s="127">
        <f>18.00069</f>
        <v>18.000689999999999</v>
      </c>
      <c r="G179" s="127"/>
      <c r="H179" s="127">
        <f>4.7655</f>
        <v>4.7655000000000003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1.02498</f>
        <v>1.02498</v>
      </c>
      <c r="F180" s="127">
        <f>10.73472</f>
        <v>10.734719999999999</v>
      </c>
      <c r="G180" s="127"/>
      <c r="H180" s="127">
        <f>10.9525</f>
        <v>10.952500000000001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</f>
        <v>0</v>
      </c>
      <c r="F181" s="192">
        <f>8.3858</f>
        <v>8.3857999999999997</v>
      </c>
      <c r="G181" s="192"/>
      <c r="H181" s="192">
        <f>1.06156</f>
        <v>1.0615600000000001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11.840579999999999</v>
      </c>
      <c r="F184" s="194">
        <f>F175+F176+F177+F178+F182+F183</f>
        <v>596.66155000000003</v>
      </c>
      <c r="G184" s="194">
        <f>D184-F184</f>
        <v>10226.338449999999</v>
      </c>
      <c r="H184" s="194">
        <f>H175+H176+H177+H178+H182+H183</f>
        <v>665.71107000000006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19.47176</f>
        <v>19.47176</v>
      </c>
      <c r="F204" s="124">
        <f>12910.16815</f>
        <v>12910.16815</v>
      </c>
      <c r="G204" s="124">
        <f>D204-F204</f>
        <v>33371.831850000002</v>
      </c>
      <c r="H204" s="124">
        <f>7055.32165</f>
        <v>7055.3216499999999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0.0675</f>
        <v>6.7500000000000004E-2</v>
      </c>
      <c r="F205" s="124">
        <f>1.54105</f>
        <v>1.54105</v>
      </c>
      <c r="G205" s="124">
        <f>D205-F205</f>
        <v>98.458950000000002</v>
      </c>
      <c r="H205" s="124">
        <f>0.8048</f>
        <v>0.80479999999999996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19.539259999999999</v>
      </c>
      <c r="F207" s="190">
        <f>SUM(F204:F206)</f>
        <v>12911.709199999999</v>
      </c>
      <c r="G207" s="190">
        <f>D207-F207</f>
        <v>33506.290800000002</v>
      </c>
      <c r="H207" s="190">
        <f>SUM(H204:H206)</f>
        <v>7056.1264499999997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209.11474000000001</v>
      </c>
      <c r="F249" s="75">
        <f>F250+F251</f>
        <v>1436.8921599999999</v>
      </c>
      <c r="G249" s="75">
        <f>D249-F249</f>
        <v>2550.1078400000001</v>
      </c>
      <c r="H249" s="75">
        <f>H250+H251</f>
        <v>977.47369000000003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202.52222</f>
        <v>202.52222</v>
      </c>
      <c r="F250" s="75">
        <f>1116.39464</f>
        <v>1116.39464</v>
      </c>
      <c r="G250" s="75"/>
      <c r="H250" s="75">
        <f>719.00947</f>
        <v>719.00946999999996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6.59252</f>
        <v>6.5925200000000004</v>
      </c>
      <c r="F251" s="124">
        <f>320.49752</f>
        <v>320.49752000000001</v>
      </c>
      <c r="G251" s="168"/>
      <c r="H251" s="124">
        <f>258.46422</f>
        <v>258.46422000000001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188.59287</f>
        <v>188.59287</v>
      </c>
      <c r="F252" s="75">
        <f>1640.46553</f>
        <v>1640.4655299999999</v>
      </c>
      <c r="G252" s="75">
        <f>D252-F252</f>
        <v>2972.5344700000001</v>
      </c>
      <c r="H252" s="75">
        <f>1467.93907</f>
        <v>1467.9390699999999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606.82235000000003</v>
      </c>
      <c r="F253" s="190">
        <f>SUM(F249:F252)</f>
        <v>4514.2498500000002</v>
      </c>
      <c r="G253" s="190">
        <f>D253-F253</f>
        <v>4085.7501499999998</v>
      </c>
      <c r="H253" s="190">
        <f>SUM(H249:H252)</f>
        <v>3422.88645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68.91031000000001</v>
      </c>
      <c r="F295" s="75">
        <f>F296+F297</f>
        <v>1212.4263099999998</v>
      </c>
      <c r="G295" s="75">
        <f>D295-F295</f>
        <v>3877.5736900000002</v>
      </c>
      <c r="H295" s="75">
        <f>H296+H297</f>
        <v>543.53079000000002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67.61977</f>
        <v>67.619770000000003</v>
      </c>
      <c r="F296" s="75">
        <f>940.72367</f>
        <v>940.72366999999997</v>
      </c>
      <c r="G296" s="75"/>
      <c r="H296" s="75">
        <f>369.50749</f>
        <v>369.50749000000002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1.29054</f>
        <v>1.29054</v>
      </c>
      <c r="F297" s="124">
        <f>271.70264</f>
        <v>271.70263999999997</v>
      </c>
      <c r="G297" s="168"/>
      <c r="H297" s="124">
        <f>174.0233</f>
        <v>174.02330000000001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84.26719</f>
        <v>84.267189999999999</v>
      </c>
      <c r="F298" s="75">
        <f>1079.7479</f>
        <v>1079.7479000000001</v>
      </c>
      <c r="G298" s="75">
        <f>D298-F298</f>
        <v>1901.2520999999999</v>
      </c>
      <c r="H298" s="75">
        <f>863.14286</f>
        <v>863.14286000000004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222.08780999999999</v>
      </c>
      <c r="F299" s="190">
        <f>SUM(F295:F298)</f>
        <v>3504.60052</v>
      </c>
      <c r="G299" s="190">
        <f>D299-F299</f>
        <v>4566.39948</v>
      </c>
      <c r="H299" s="190">
        <f>SUM(H295:H298)</f>
        <v>1950.20444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7.01451</f>
        <v>7.0145099999999996</v>
      </c>
      <c r="F350" s="124">
        <f>128.37363</f>
        <v>128.37362999999999</v>
      </c>
      <c r="G350" s="124">
        <f>D350-F350</f>
        <v>671.62636999999995</v>
      </c>
      <c r="H350" s="124">
        <f>91.64453</f>
        <v>91.644530000000003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3.62142</f>
        <v>3.6214200000000001</v>
      </c>
      <c r="F351" s="124">
        <f>346.76313</f>
        <v>346.76312999999999</v>
      </c>
      <c r="G351" s="124">
        <f>D351-F351</f>
        <v>2694.2368700000002</v>
      </c>
      <c r="H351" s="124">
        <f>399.97341</f>
        <v>399.97341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0.19022</f>
        <v>0.19022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10.63593</v>
      </c>
      <c r="F354" s="190">
        <f>SUM(F350:F353)</f>
        <v>475.79381999999998</v>
      </c>
      <c r="G354" s="190">
        <f>D354-F354</f>
        <v>3375.2061800000001</v>
      </c>
      <c r="H354" s="190">
        <f>H350+H351+H352+H353</f>
        <v>491.89819999999997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19.613400000000002</v>
      </c>
      <c r="G380" s="252">
        <f t="shared" si="17"/>
        <v>3910.9037600000001</v>
      </c>
      <c r="H380" s="252">
        <f>H384+H383+H382+H381</f>
        <v>19058.096239999999</v>
      </c>
      <c r="I380" s="252">
        <f t="shared" si="17"/>
        <v>2747.9102800000001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3052.99767</f>
        <v>3052.9976700000002</v>
      </c>
      <c r="H381" s="256">
        <f t="shared" ref="H381:H385" si="18">E381-G381</f>
        <v>10137.002329999999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253.9944</f>
        <v>253.99440000000001</v>
      </c>
      <c r="H382" s="256">
        <f t="shared" si="18"/>
        <v>3179.0056</v>
      </c>
      <c r="I382" s="256">
        <f>432</f>
        <v>432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19.4142</f>
        <v>19.414200000000001</v>
      </c>
      <c r="G383" s="256">
        <f>575.01469</f>
        <v>575.01468999999997</v>
      </c>
      <c r="H383" s="256">
        <f t="shared" si="18"/>
        <v>907.98531000000003</v>
      </c>
      <c r="I383" s="256">
        <f>451.78525</f>
        <v>451.78525000000002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0.1992</f>
        <v>0.19919999999999999</v>
      </c>
      <c r="G384" s="256">
        <f>28.897</f>
        <v>28.896999999999998</v>
      </c>
      <c r="H384" s="256">
        <f t="shared" si="18"/>
        <v>4834.1030000000001</v>
      </c>
      <c r="I384" s="256">
        <f>245.56085</f>
        <v>245.56084999999999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0.971</f>
        <v>0.97099999999999997</v>
      </c>
      <c r="H385" s="267">
        <f t="shared" si="18"/>
        <v>5499.0290000000005</v>
      </c>
      <c r="I385" s="267">
        <f>19.42</f>
        <v>19.420000000000002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18.875029999999999</v>
      </c>
      <c r="G386" s="268">
        <f>G388+G387</f>
        <v>1197.0370499999999</v>
      </c>
      <c r="H386" s="268">
        <f>E386-G386</f>
        <v>6802.9629500000001</v>
      </c>
      <c r="I386" s="268">
        <f>I388+I387</f>
        <v>1488.14813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18.87503</f>
        <v>18.875029999999999</v>
      </c>
      <c r="G388" s="277">
        <f>679.96329</f>
        <v>679.96329000000003</v>
      </c>
      <c r="H388" s="277"/>
      <c r="I388" s="277">
        <f>745.57453</f>
        <v>745.57452999999998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0.00564</f>
        <v>5.64E-3</v>
      </c>
      <c r="G390" s="267">
        <f>3.815</f>
        <v>3.8149999999999999</v>
      </c>
      <c r="H390" s="267">
        <f>E390-G390</f>
        <v>-3.8149999999999999</v>
      </c>
      <c r="I390" s="267">
        <f>3.39832</f>
        <v>3.39832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38.494070000000001</v>
      </c>
      <c r="G391" s="286">
        <f t="shared" si="19"/>
        <v>5112.7532099999989</v>
      </c>
      <c r="H391" s="286">
        <f>H380+H385+H386+H389+H390</f>
        <v>31369.246790000005</v>
      </c>
      <c r="I391" s="286">
        <f t="shared" si="19"/>
        <v>4258.93343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1221.9089799999999</v>
      </c>
      <c r="G416" s="85">
        <f>D416-F416</f>
        <v>-161.90897999999993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40.846379999999996</v>
      </c>
      <c r="F419" s="36">
        <f>SUM(F420:F421)</f>
        <v>279.96017000000001</v>
      </c>
      <c r="G419" s="85">
        <f>D419-F419</f>
        <v>955.03982999999994</v>
      </c>
      <c r="H419" s="36">
        <f>SUM(H420:H421)</f>
        <v>593.02927999999997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23.568</f>
        <v>23.568000000000001</v>
      </c>
      <c r="F420" s="30">
        <f>188.53664</f>
        <v>188.53664000000001</v>
      </c>
      <c r="G420" s="97"/>
      <c r="H420" s="30">
        <f>425.56748</f>
        <v>425.56747999999999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17.27838</f>
        <v>17.278379999999999</v>
      </c>
      <c r="F421" s="30">
        <f>91.42353</f>
        <v>91.42353</v>
      </c>
      <c r="G421" s="108"/>
      <c r="H421" s="30">
        <f>167.4618</f>
        <v>167.46180000000001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40.846379999999996</v>
      </c>
      <c r="F423" s="40">
        <f>F413+F416+F419+F422</f>
        <v>2490.2703799999995</v>
      </c>
      <c r="G423" s="41"/>
      <c r="H423" s="40">
        <f>H413+H416+H419+H422</f>
        <v>4324.8624399999999</v>
      </c>
      <c r="I423" s="27"/>
      <c r="J423" s="130"/>
    </row>
    <row r="424" spans="1:10" ht="42" customHeight="1" x14ac:dyDescent="0.2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13&amp;R01.04.2024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2024-04-03T06:46:24Z</dcterms:modified>
</cp:coreProperties>
</file>