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"/>
    </mc:Choice>
  </mc:AlternateContent>
  <xr:revisionPtr revIDLastSave="0" documentId="8_{D0508D3D-3AA6-4FAB-990D-1E9D8909BBDA}" xr6:coauthVersionLast="47" xr6:coauthVersionMax="47" xr10:uidLastSave="{00000000-0000-0000-0000-000000000000}"/>
  <bookViews>
    <workbookView xWindow="0" yWindow="270" windowWidth="28800" windowHeight="151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3" i="1"/>
  <c r="H123" i="1" s="1"/>
  <c r="G122" i="1"/>
  <c r="G124" i="1"/>
  <c r="H124" i="1" s="1"/>
  <c r="G125" i="1"/>
  <c r="H125" i="1" s="1"/>
  <c r="I34" i="1"/>
  <c r="I30" i="1"/>
  <c r="I29" i="1"/>
  <c r="I28" i="1"/>
  <c r="I27" i="1"/>
  <c r="G34" i="1"/>
  <c r="G33" i="1" s="1"/>
  <c r="G30" i="1"/>
  <c r="G29" i="1"/>
  <c r="G28" i="1"/>
  <c r="H28" i="1" s="1"/>
  <c r="G27" i="1"/>
  <c r="H27" i="1" s="1"/>
  <c r="F34" i="1"/>
  <c r="F33" i="1" s="1"/>
  <c r="F30" i="1"/>
  <c r="F29" i="1"/>
  <c r="F28" i="1"/>
  <c r="F27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H322" i="1"/>
  <c r="F322" i="1"/>
  <c r="G322" i="1" s="1"/>
  <c r="E322" i="1"/>
  <c r="E324" i="1" s="1"/>
  <c r="E315" i="1"/>
  <c r="D304" i="1"/>
  <c r="H303" i="1"/>
  <c r="F303" i="1"/>
  <c r="G303" i="1" s="1"/>
  <c r="E303" i="1"/>
  <c r="H302" i="1"/>
  <c r="F302" i="1"/>
  <c r="E302" i="1"/>
  <c r="H301" i="1"/>
  <c r="F301" i="1"/>
  <c r="E301" i="1"/>
  <c r="E300" i="1" s="1"/>
  <c r="H300" i="1"/>
  <c r="F300" i="1"/>
  <c r="G300" i="1" s="1"/>
  <c r="H299" i="1"/>
  <c r="F299" i="1"/>
  <c r="E299" i="1"/>
  <c r="E297" i="1" s="1"/>
  <c r="H298" i="1"/>
  <c r="H297" i="1" s="1"/>
  <c r="F298" i="1"/>
  <c r="F297" i="1" s="1"/>
  <c r="G297" i="1" s="1"/>
  <c r="E298" i="1"/>
  <c r="H296" i="1"/>
  <c r="H294" i="1" s="1"/>
  <c r="F296" i="1"/>
  <c r="E296" i="1"/>
  <c r="E294" i="1" s="1"/>
  <c r="H295" i="1"/>
  <c r="F295" i="1"/>
  <c r="F294" i="1" s="1"/>
  <c r="E295" i="1"/>
  <c r="D273" i="1"/>
  <c r="I272" i="1"/>
  <c r="G272" i="1"/>
  <c r="H272" i="1" s="1"/>
  <c r="F272" i="1"/>
  <c r="I271" i="1"/>
  <c r="H271" i="1"/>
  <c r="G271" i="1"/>
  <c r="F271" i="1"/>
  <c r="I270" i="1"/>
  <c r="I268" i="1" s="1"/>
  <c r="G270" i="1"/>
  <c r="G268" i="1" s="1"/>
  <c r="H268" i="1" s="1"/>
  <c r="F270" i="1"/>
  <c r="F268" i="1" s="1"/>
  <c r="I269" i="1"/>
  <c r="G269" i="1"/>
  <c r="F269" i="1"/>
  <c r="I267" i="1"/>
  <c r="G267" i="1"/>
  <c r="H267" i="1" s="1"/>
  <c r="F267" i="1"/>
  <c r="I266" i="1"/>
  <c r="G266" i="1"/>
  <c r="H266" i="1" s="1"/>
  <c r="F266" i="1"/>
  <c r="I265" i="1"/>
  <c r="I262" i="1" s="1"/>
  <c r="G265" i="1"/>
  <c r="G262" i="1" s="1"/>
  <c r="G273" i="1" s="1"/>
  <c r="F265" i="1"/>
  <c r="I264" i="1"/>
  <c r="G264" i="1"/>
  <c r="H264" i="1" s="1"/>
  <c r="F264" i="1"/>
  <c r="I263" i="1"/>
  <c r="G263" i="1"/>
  <c r="H263" i="1" s="1"/>
  <c r="F263" i="1"/>
  <c r="F262" i="1"/>
  <c r="F273" i="1" s="1"/>
  <c r="E262" i="1"/>
  <c r="E273" i="1" s="1"/>
  <c r="D262" i="1"/>
  <c r="H254" i="1"/>
  <c r="F254" i="1"/>
  <c r="D251" i="1"/>
  <c r="D250" i="1"/>
  <c r="F241" i="1"/>
  <c r="D241" i="1"/>
  <c r="G241" i="1" s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H241" i="1" s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F215" i="1" s="1"/>
  <c r="E217" i="1"/>
  <c r="H216" i="1"/>
  <c r="H215" i="1" s="1"/>
  <c r="H219" i="1" s="1"/>
  <c r="F216" i="1"/>
  <c r="E216" i="1"/>
  <c r="E215" i="1" s="1"/>
  <c r="E219" i="1" s="1"/>
  <c r="D206" i="1"/>
  <c r="H205" i="1"/>
  <c r="F205" i="1"/>
  <c r="G205" i="1" s="1"/>
  <c r="E205" i="1"/>
  <c r="H204" i="1"/>
  <c r="H202" i="1" s="1"/>
  <c r="H206" i="1" s="1"/>
  <c r="F204" i="1"/>
  <c r="E204" i="1"/>
  <c r="E202" i="1" s="1"/>
  <c r="E206" i="1" s="1"/>
  <c r="H203" i="1"/>
  <c r="F203" i="1"/>
  <c r="E203" i="1"/>
  <c r="F202" i="1"/>
  <c r="G202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G192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H164" i="1"/>
  <c r="F164" i="1"/>
  <c r="F163" i="1" s="1"/>
  <c r="G163" i="1" s="1"/>
  <c r="E164" i="1"/>
  <c r="H163" i="1"/>
  <c r="H162" i="1"/>
  <c r="F162" i="1"/>
  <c r="G162" i="1" s="1"/>
  <c r="E162" i="1"/>
  <c r="H161" i="1"/>
  <c r="F161" i="1"/>
  <c r="E161" i="1"/>
  <c r="H160" i="1"/>
  <c r="H169" i="1" s="1"/>
  <c r="F160" i="1"/>
  <c r="E160" i="1"/>
  <c r="E169" i="1" s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I126" i="1" s="1"/>
  <c r="G128" i="1"/>
  <c r="H128" i="1" s="1"/>
  <c r="F128" i="1"/>
  <c r="I127" i="1"/>
  <c r="G127" i="1"/>
  <c r="H127" i="1" s="1"/>
  <c r="F127" i="1"/>
  <c r="F126" i="1" s="1"/>
  <c r="G126" i="1"/>
  <c r="E126" i="1"/>
  <c r="D126" i="1"/>
  <c r="I125" i="1"/>
  <c r="F125" i="1"/>
  <c r="I124" i="1"/>
  <c r="F124" i="1"/>
  <c r="I123" i="1"/>
  <c r="F123" i="1"/>
  <c r="I122" i="1"/>
  <c r="I121" i="1" s="1"/>
  <c r="H122" i="1"/>
  <c r="F122" i="1"/>
  <c r="F121" i="1" s="1"/>
  <c r="F120" i="1" s="1"/>
  <c r="E121" i="1"/>
  <c r="D121" i="1"/>
  <c r="D120" i="1" s="1"/>
  <c r="E120" i="1"/>
  <c r="I119" i="1"/>
  <c r="H119" i="1"/>
  <c r="F119" i="1"/>
  <c r="I118" i="1"/>
  <c r="G118" i="1"/>
  <c r="H118" i="1" s="1"/>
  <c r="F118" i="1"/>
  <c r="I117" i="1"/>
  <c r="G117" i="1"/>
  <c r="H117" i="1" s="1"/>
  <c r="F117" i="1"/>
  <c r="I116" i="1"/>
  <c r="G116" i="1"/>
  <c r="G115" i="1" s="1"/>
  <c r="F116" i="1"/>
  <c r="I115" i="1"/>
  <c r="F115" i="1"/>
  <c r="E115" i="1"/>
  <c r="E137" i="1" s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H83" i="1" s="1"/>
  <c r="H82" i="1" s="1"/>
  <c r="G85" i="1"/>
  <c r="F85" i="1"/>
  <c r="I84" i="1"/>
  <c r="H84" i="1"/>
  <c r="G84" i="1"/>
  <c r="G83" i="1" s="1"/>
  <c r="G82" i="1" s="1"/>
  <c r="F84" i="1"/>
  <c r="I83" i="1"/>
  <c r="I82" i="1" s="1"/>
  <c r="F83" i="1"/>
  <c r="E83" i="1"/>
  <c r="E82" i="1" s="1"/>
  <c r="D83" i="1"/>
  <c r="F82" i="1"/>
  <c r="D82" i="1"/>
  <c r="I81" i="1"/>
  <c r="H81" i="1"/>
  <c r="G81" i="1"/>
  <c r="F81" i="1"/>
  <c r="I80" i="1"/>
  <c r="I79" i="1" s="1"/>
  <c r="H80" i="1"/>
  <c r="H79" i="1" s="1"/>
  <c r="G80" i="1"/>
  <c r="F80" i="1"/>
  <c r="F79" i="1" s="1"/>
  <c r="F94" i="1" s="1"/>
  <c r="G79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G52" i="1"/>
  <c r="G31" i="1" s="1"/>
  <c r="H31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E33" i="1"/>
  <c r="D33" i="1"/>
  <c r="I32" i="1"/>
  <c r="H32" i="1"/>
  <c r="G32" i="1"/>
  <c r="F32" i="1"/>
  <c r="H30" i="1"/>
  <c r="H29" i="1"/>
  <c r="E26" i="1"/>
  <c r="E25" i="1" s="1"/>
  <c r="D26" i="1"/>
  <c r="D25" i="1"/>
  <c r="I24" i="1"/>
  <c r="H24" i="1"/>
  <c r="G24" i="1"/>
  <c r="F24" i="1"/>
  <c r="I23" i="1"/>
  <c r="I22" i="1" s="1"/>
  <c r="H23" i="1"/>
  <c r="H22" i="1" s="1"/>
  <c r="G23" i="1"/>
  <c r="F23" i="1"/>
  <c r="F22" i="1" s="1"/>
  <c r="G22" i="1"/>
  <c r="E22" i="1"/>
  <c r="D22" i="1"/>
  <c r="D42" i="1" s="1"/>
  <c r="H16" i="1"/>
  <c r="F16" i="1"/>
  <c r="D16" i="1"/>
  <c r="I33" i="1" l="1"/>
  <c r="H52" i="1"/>
  <c r="I26" i="1"/>
  <c r="G26" i="1"/>
  <c r="G25" i="1" s="1"/>
  <c r="G42" i="1" s="1"/>
  <c r="H26" i="1"/>
  <c r="F26" i="1"/>
  <c r="F25" i="1" s="1"/>
  <c r="F42" i="1" s="1"/>
  <c r="G94" i="1"/>
  <c r="I120" i="1"/>
  <c r="F169" i="1"/>
  <c r="G169" i="1" s="1"/>
  <c r="H192" i="1"/>
  <c r="I273" i="1"/>
  <c r="E304" i="1"/>
  <c r="F304" i="1"/>
  <c r="G304" i="1" s="1"/>
  <c r="G294" i="1"/>
  <c r="H33" i="1"/>
  <c r="I25" i="1"/>
  <c r="I42" i="1" s="1"/>
  <c r="F137" i="1"/>
  <c r="G215" i="1"/>
  <c r="F219" i="1"/>
  <c r="G219" i="1" s="1"/>
  <c r="E42" i="1"/>
  <c r="H94" i="1"/>
  <c r="I137" i="1"/>
  <c r="H126" i="1"/>
  <c r="H304" i="1"/>
  <c r="I94" i="1"/>
  <c r="H121" i="1"/>
  <c r="H120" i="1" s="1"/>
  <c r="H189" i="1"/>
  <c r="F206" i="1"/>
  <c r="G206" i="1" s="1"/>
  <c r="H265" i="1"/>
  <c r="H262" i="1" s="1"/>
  <c r="H273" i="1" s="1"/>
  <c r="G323" i="1"/>
  <c r="G324" i="1" s="1"/>
  <c r="G121" i="1"/>
  <c r="G120" i="1" s="1"/>
  <c r="G137" i="1" s="1"/>
  <c r="H116" i="1"/>
  <c r="H115" i="1" s="1"/>
  <c r="H34" i="1"/>
  <c r="G160" i="1"/>
  <c r="H25" i="1" l="1"/>
  <c r="H42" i="1" s="1"/>
  <c r="H137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<sst xmlns="http://schemas.openxmlformats.org/spreadsheetml/2006/main" count="393" uniqueCount="167">
  <si>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</si>
  <si>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</si>
  <si>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</si>
  <si>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</si>
  <si>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</si>
  <si>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</si>
  <si>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</si>
  <si>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</si>
  <si>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</si>
  <si>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</si>
  <si>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</si>
  <si>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</si>
  <si>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</si>
  <si>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</si>
  <si>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</si>
  <si>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</si>
  <si>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</si>
  <si>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</si>
  <si>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</si>
  <si>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</si>
  <si>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</si>
  <si>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</si>
  <si>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</si>
  <si>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</si>
  <si>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</si>
  <si>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</si>
  <si>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</si>
  <si>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</si>
  <si>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</si>
  <si>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</si>
  <si>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</si>
  <si>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</si>
  <si>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</si>
  <si>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</si>
  <si>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</si>
  <si>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</si>
  <si>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</si>
  <si>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</si>
  <si>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</si>
  <si>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</si>
  <si>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</si>
  <si>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</si>
  <si>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</si>
  <si>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</si>
  <si>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</si>
  <si>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</si>
  <si>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</si>
  <si>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</si>
  <si>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</si>
  <si>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</si>
  <si>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</si>
  <si>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</si>
  <si>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</si>
  <si>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</si>
  <si>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</si>
  <si>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</si>
  <si>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</si>
  <si>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</si>
  <si>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</si>
  <si>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</si>
  <si>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</si>
  <si>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</si>
  <si>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</si>
  <si>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</si>
  <si>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</si>
  <si>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</si>
  <si>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</si>
  <si>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</si>
  <si>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</si>
  <si>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</si>
  <si>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</si>
  <si>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</si>
  <si>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</si>
  <si>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</si>
  <si>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</si>
  <si>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</si>
  <si>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</si>
  <si>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</si>
  <si>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</si>
  <si>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</si>
  <si>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</si>
  <si>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</si>
  <si>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</si>
  <si>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</si>
  <si>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</si>
  <si>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</si>
  <si>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</si>
  <si>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</si>
  <si>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</si>
  <si>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</si>
  <si>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</si>
  <si>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</si>
  <si>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</si>
  <si>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</si>
  <si>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</si>
  <si>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</si>
  <si>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</si>
  <si>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</si>
  <si>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</si>
  <si>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</si>
  <si>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</si>
  <si>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</si>
  <si>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</si>
  <si>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</si>
  <si>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</si>
  <si>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</si>
  <si>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</si>
  <si>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</si>
  <si>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</si>
  <si>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</si>
  <si>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</si>
  <si>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</si>
  <si>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</si>
  <si>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</si>
  <si>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</si>
  <si>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</si>
  <si>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</si>
  <si>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</si>
  <si>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</si>
  <si>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</si>
  <si>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</si>
  <si>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</si>
  <si>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</si>
  <si>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</si>
  <si>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</si>
  <si>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</si>
  <si>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</si>
  <si>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</si>
  <si>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</si>
  <si>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</si>
  <si>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</si>
  <si>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</si>
  <si>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</si>
  <si>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</si>
  <si>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</si>
  <si>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</si>
  <si>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</si>
  <si>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</si>
  <si>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</si>
  <si>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</si>
  <si>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</si>
  <si>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</si>
  <si>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</si>
  <si>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</si>
  <si>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</si>
  <si>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</si>
  <si>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</si>
  <si>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</si>
  <si>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</si>
  <si>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</si>
  <si>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</si>
  <si>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</si>
  <si>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</si>
  <si>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</si>
  <si>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</si>
  <si>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</si>
  <si>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</si>
  <si>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</si>
  <si>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</si>
  <si>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47 tonn, men det legges til grunn at hele avsetningen tas</t>
  </si>
  <si>
    <t>4 Registrert rekreasjonsfiske utgjør 354 tonn, men det legges til grunn at hele avsetningen tas</t>
  </si>
  <si>
    <t>3 Registrert rekreasjonsfiske utgjør 716 tonn, men det legges til grunn at hele avsetningen tas</t>
  </si>
  <si>
    <t>FANGST UKE 35</t>
  </si>
  <si>
    <t>FANGST T.O.M UKE 35</t>
  </si>
  <si>
    <t>RESTKVOTER UKE 35</t>
  </si>
  <si>
    <t>FANGST T.O.M UKE 35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</si>
  <si>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2 508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</si>
</sst>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30" zoomScale="112" zoomScaleNormal="55" zoomScaleSheetLayoutView="100" zoomScalePageLayoutView="85" workbookViewId="0">
      <selection activeCell="C143" sqref="C143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7.65</v>
      </c>
      <c r="G22" s="27">
        <f t="shared" si="0"/>
        <v>22174.97308</v>
      </c>
      <c r="H22" s="10">
        <f t="shared" si="0"/>
        <v>19411.02692</v>
      </c>
      <c r="I22" s="10">
        <f t="shared" si="0"/>
        <v>38632.261400000003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7.65</f>
        <v>7.65</v>
      </c>
      <c r="G23" s="22">
        <f>21804.27343</f>
        <v>21804.273430000001</v>
      </c>
      <c r="H23" s="22">
        <f>E23-G23</f>
        <v>19018.726569999999</v>
      </c>
      <c r="I23" s="22">
        <f>38108.18282</f>
        <v>38108.182820000002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370.69965</f>
        <v>370.69965000000002</v>
      </c>
      <c r="H24" s="22">
        <f>E24-G24</f>
        <v>392.30034999999998</v>
      </c>
      <c r="I24" s="22">
        <f>524.07858</f>
        <v>524.07857999999999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361.17281000000003</v>
      </c>
      <c r="G25" s="10">
        <f t="shared" si="1"/>
        <v>104470.24262999999</v>
      </c>
      <c r="H25" s="10">
        <f t="shared" si="1"/>
        <v>17197.757369999999</v>
      </c>
      <c r="I25" s="10">
        <f t="shared" si="1"/>
        <v>123948.0741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302.64261000000005</v>
      </c>
      <c r="G26" s="129">
        <f>G27+G28+G29+G30+G31</f>
        <v>83785.027969999996</v>
      </c>
      <c r="H26" s="129">
        <f t="shared" ref="H26:I26" si="2">H27+H28+H29+H30+H31</f>
        <v>11107.972030000001</v>
      </c>
      <c r="I26" s="129">
        <f t="shared" si="2"/>
        <v>100954.36138999999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54.31575 - F53</f>
        <v>19.315750000000001</v>
      </c>
      <c r="G27" s="123">
        <f>22985.68097 - G53</f>
        <v>22648.680970000001</v>
      </c>
      <c r="H27" s="123">
        <f t="shared" ref="H27:H39" si="3">E27-G27</f>
        <v>2504.3190299999987</v>
      </c>
      <c r="I27" s="123">
        <f>26318.92419 - I53</f>
        <v>25743.924190000002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140.93995 - F54</f>
        <v>82.93995000000001</v>
      </c>
      <c r="G28" s="123">
        <f>22929.99415 - G54</f>
        <v>22325.994149999999</v>
      </c>
      <c r="H28" s="123">
        <f t="shared" si="3"/>
        <v>1668.0058500000014</v>
      </c>
      <c r="I28" s="123">
        <f>28300.85753 - I54</f>
        <v>27427.857530000001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83.71013 - F55</f>
        <v>29.710130000000007</v>
      </c>
      <c r="G29" s="123">
        <f>21905.67427 - G55</f>
        <v>21065.67427</v>
      </c>
      <c r="H29" s="123">
        <f t="shared" si="3"/>
        <v>804.32573000000048</v>
      </c>
      <c r="I29" s="123">
        <f>26639.94616 - I55</f>
        <v>25513.94616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23.67678 - F56</f>
        <v>10.676780000000001</v>
      </c>
      <c r="G30" s="123">
        <f>15963.67858 - G56</f>
        <v>15366.67858</v>
      </c>
      <c r="H30" s="123">
        <f t="shared" si="3"/>
        <v>278.32142000000022</v>
      </c>
      <c r="I30" s="123">
        <f>19694.63351 - I56</f>
        <v>18800.63351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160</v>
      </c>
      <c r="G31" s="123">
        <f>G52</f>
        <v>2378</v>
      </c>
      <c r="H31" s="123">
        <f>E31-G31</f>
        <v>5853</v>
      </c>
      <c r="I31" s="123">
        <f>I52</f>
        <v>3468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0.4838</f>
        <v>0.48380000000000001</v>
      </c>
      <c r="G32" s="129">
        <f>9414.21723</f>
        <v>9414.2172300000002</v>
      </c>
      <c r="H32" s="129">
        <f t="shared" si="3"/>
        <v>4264.7827699999998</v>
      </c>
      <c r="I32" s="129">
        <f>10994.57433</f>
        <v>10994.574329999999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58.046400000000006</v>
      </c>
      <c r="G33" s="129">
        <f>G34+G35</f>
        <v>11270.997429999999</v>
      </c>
      <c r="H33" s="129">
        <f t="shared" si="3"/>
        <v>1825.0025700000006</v>
      </c>
      <c r="I33" s="129">
        <f>I34+I35</f>
        <v>11999.13838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65.0464 - F57 - F58</f>
        <v>58.046400000000006</v>
      </c>
      <c r="G34" s="129">
        <f>13316.99743 - G57 - G58</f>
        <v>10983.997429999999</v>
      </c>
      <c r="H34" s="123">
        <f t="shared" si="3"/>
        <v>1152.0025700000006</v>
      </c>
      <c r="I34" s="123">
        <f>14804.13838 - I57 - I58</f>
        <v>11613.13838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0</v>
      </c>
      <c r="G35" s="67">
        <f>G57</f>
        <v>287</v>
      </c>
      <c r="H35" s="67">
        <f t="shared" si="3"/>
        <v>673</v>
      </c>
      <c r="I35" s="67">
        <f>I57</f>
        <v>386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0</f>
        <v>0</v>
      </c>
      <c r="G37" s="95">
        <f>573.07131</f>
        <v>573.07131000000004</v>
      </c>
      <c r="H37" s="95">
        <f t="shared" si="3"/>
        <v>281.92868999999996</v>
      </c>
      <c r="I37" s="95">
        <f>472.57823</f>
        <v>472.57823000000002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7</v>
      </c>
      <c r="G38" s="95">
        <f>G58</f>
        <v>2046</v>
      </c>
      <c r="H38" s="95">
        <f t="shared" si="3"/>
        <v>954</v>
      </c>
      <c r="I38" s="95">
        <f>I58</f>
        <v>2805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5.62267</f>
        <v>5.6226700000000003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1.5225</f>
        <v>1.5225</v>
      </c>
      <c r="G40" s="95">
        <f>382.24624</f>
        <v>382.24624</v>
      </c>
      <c r="H40" s="95">
        <f>E40-G40</f>
        <v>67.75376</v>
      </c>
      <c r="I40" s="95">
        <f>335.12956</f>
        <v>335.12956000000003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0</f>
        <v>0</v>
      </c>
      <c r="G41" s="136">
        <f>101.50063</f>
        <v>101.50063</v>
      </c>
      <c r="H41" s="136">
        <f t="shared" ref="H41" si="4">E41-G41</f>
        <v>-101.50063</v>
      </c>
      <c r="I41" s="136">
        <f>85.52126</f>
        <v>85.521259999999998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382.96798000000001</v>
      </c>
      <c r="G42" s="73">
        <f t="shared" si="5"/>
        <v>137028.29029</v>
      </c>
      <c r="H42" s="73">
        <f t="shared" si="5"/>
        <v>38530.709709999996</v>
      </c>
      <c r="I42" s="73">
        <f t="shared" si="5"/>
        <v>173626.92575000002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160</v>
      </c>
      <c r="G52" s="10">
        <f>G56+G55+G54+G53</f>
        <v>2378</v>
      </c>
      <c r="H52" s="329">
        <f>E52-G52</f>
        <v>5853</v>
      </c>
      <c r="I52" s="10">
        <f>I56+I55+I54+I53</f>
        <v>3468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>
        <v>35</v>
      </c>
      <c r="G53" s="123">
        <v>337</v>
      </c>
      <c r="H53" s="330"/>
      <c r="I53" s="123">
        <v>575</v>
      </c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>
        <v>58</v>
      </c>
      <c r="G54" s="123">
        <v>604</v>
      </c>
      <c r="H54" s="330"/>
      <c r="I54" s="123">
        <v>873</v>
      </c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>
        <v>54</v>
      </c>
      <c r="G55" s="123">
        <v>840</v>
      </c>
      <c r="H55" s="330"/>
      <c r="I55" s="123">
        <v>1126</v>
      </c>
      <c r="J55" s="117"/>
    </row>
    <row r="56" spans="1:10" ht="14.1" customHeight="1" x14ac:dyDescent="0.25">
      <c r="A56" s="101"/>
      <c r="B56" s="24"/>
      <c r="C56" s="84" t="s">
        <v>27</v>
      </c>
      <c r="D56" s="331"/>
      <c r="E56" s="331"/>
      <c r="F56" s="186">
        <v>13</v>
      </c>
      <c r="G56" s="186">
        <v>597</v>
      </c>
      <c r="H56" s="331"/>
      <c r="I56" s="186">
        <v>894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/>
      <c r="G57" s="92">
        <v>287</v>
      </c>
      <c r="H57" s="92">
        <f>E57-G57</f>
        <v>673</v>
      </c>
      <c r="I57" s="92">
        <v>386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7</v>
      </c>
      <c r="G58" s="136">
        <v>2046</v>
      </c>
      <c r="H58" s="136">
        <f>E58-G58</f>
        <v>954</v>
      </c>
      <c r="I58" s="136">
        <v>2805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0</v>
      </c>
      <c r="G79" s="10">
        <f t="shared" si="6"/>
        <v>19954.904419999999</v>
      </c>
      <c r="H79" s="10">
        <f t="shared" si="6"/>
        <v>6186.0955800000011</v>
      </c>
      <c r="I79" s="10">
        <f t="shared" si="6"/>
        <v>23382.679970000001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0</f>
        <v>0</v>
      </c>
      <c r="G80" s="22">
        <f>19517.7414</f>
        <v>19517.741399999999</v>
      </c>
      <c r="H80" s="22">
        <f>E80-G80</f>
        <v>5798.258600000001</v>
      </c>
      <c r="I80" s="22">
        <f>22593.13352</f>
        <v>22593.133519999999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437.16302</f>
        <v>437.16302000000002</v>
      </c>
      <c r="H81" s="48">
        <f>E81-G81</f>
        <v>387.83697999999998</v>
      </c>
      <c r="I81" s="48">
        <f>789.54645</f>
        <v>789.54645000000005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360.29034000000001</v>
      </c>
      <c r="G82" s="10">
        <f t="shared" si="7"/>
        <v>31431.521560000001</v>
      </c>
      <c r="H82" s="10">
        <f t="shared" si="7"/>
        <v>12697.478440000001</v>
      </c>
      <c r="I82" s="10">
        <f t="shared" si="7"/>
        <v>38604.034650000001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305.79292000000004</v>
      </c>
      <c r="G83" s="129">
        <f t="shared" si="8"/>
        <v>25202.703320000001</v>
      </c>
      <c r="H83" s="129">
        <f t="shared" si="8"/>
        <v>7302.2966800000004</v>
      </c>
      <c r="I83" s="129">
        <f t="shared" si="8"/>
        <v>31153.280560000003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58.07954</f>
        <v>58.079540000000001</v>
      </c>
      <c r="G84" s="123">
        <f>3243.52954</f>
        <v>3243.52954</v>
      </c>
      <c r="H84" s="123">
        <f t="shared" ref="H84:H91" si="9">E84-G84</f>
        <v>5760.4704600000005</v>
      </c>
      <c r="I84" s="123">
        <f>4686.387</f>
        <v>4686.3869999999997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102.37303</f>
        <v>102.37303</v>
      </c>
      <c r="G85" s="123">
        <f>6634.69202</f>
        <v>6634.6920200000004</v>
      </c>
      <c r="H85" s="123">
        <f t="shared" si="9"/>
        <v>2440.3079799999996</v>
      </c>
      <c r="I85" s="123">
        <f>10192.85805</f>
        <v>10192.858050000001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129.77241</f>
        <v>129.77241000000001</v>
      </c>
      <c r="G86" s="123">
        <f>7932.5489</f>
        <v>7932.5488999999998</v>
      </c>
      <c r="H86" s="123">
        <f t="shared" si="9"/>
        <v>716.45110000000022</v>
      </c>
      <c r="I86" s="123">
        <f>9632.3544</f>
        <v>9632.3544000000002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15.56794</f>
        <v>15.56794</v>
      </c>
      <c r="G87" s="123">
        <f>7391.93286</f>
        <v>7391.9328599999999</v>
      </c>
      <c r="H87" s="123">
        <f t="shared" si="9"/>
        <v>-1614.9328599999999</v>
      </c>
      <c r="I87" s="123">
        <f>6641.68111</f>
        <v>6641.6811100000004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0.24966</f>
        <v>0.24965999999999999</v>
      </c>
      <c r="G88" s="129">
        <f>4811.65556</f>
        <v>4811.6555600000002</v>
      </c>
      <c r="H88" s="129">
        <f t="shared" si="9"/>
        <v>3305.3444399999998</v>
      </c>
      <c r="I88" s="129">
        <f>5376.02383</f>
        <v>5376.0238300000001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54.24776</f>
        <v>54.24776</v>
      </c>
      <c r="G89" s="72">
        <f>1417.16268</f>
        <v>1417.1626799999999</v>
      </c>
      <c r="H89" s="72">
        <f t="shared" si="9"/>
        <v>2089.8373200000001</v>
      </c>
      <c r="I89" s="72">
        <f>2074.73026</f>
        <v>2074.7302599999998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37.06947</f>
        <v>37.069470000000003</v>
      </c>
      <c r="H90" s="95">
        <f t="shared" si="9"/>
        <v>281.93052999999998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0.12574</f>
        <v>0.12573999999999999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12.66386</f>
        <v>12.66386</v>
      </c>
      <c r="H92" s="136">
        <f>E92-G92</f>
        <v>37.33614</v>
      </c>
      <c r="I92" s="95">
        <f>22.42166</f>
        <v>22.421659999999999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12.56132</f>
        <v>12.56132</v>
      </c>
      <c r="H93" s="136">
        <f t="shared" ref="H93" si="10">E93-G93</f>
        <v>-12.56132</v>
      </c>
      <c r="I93" s="136">
        <f>16.08144</f>
        <v>16.081440000000001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360.41608000000002</v>
      </c>
      <c r="G94" s="73">
        <f t="shared" si="12"/>
        <v>51748.720630000003</v>
      </c>
      <c r="H94" s="73">
        <f t="shared" si="12"/>
        <v>19190.27937</v>
      </c>
      <c r="I94" s="73">
        <f t="shared" si="12"/>
        <v>62361.319479999998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96.203699999999998</v>
      </c>
      <c r="G115" s="10">
        <f t="shared" si="13"/>
        <v>34649.069420000007</v>
      </c>
      <c r="H115" s="10">
        <f t="shared" si="13"/>
        <v>36365.93058</v>
      </c>
      <c r="I115" s="10">
        <f t="shared" si="13"/>
        <v>43306.581469999997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96.2037</f>
        <v>96.203699999999998</v>
      </c>
      <c r="G116" s="22">
        <f>31059.37468</f>
        <v>31059.374680000001</v>
      </c>
      <c r="H116" s="22">
        <f>E116-G116</f>
        <v>25390.625319999999</v>
      </c>
      <c r="I116" s="22">
        <f>38470.63432</f>
        <v>38470.634319999997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3524.33714</f>
        <v>3524.3371400000001</v>
      </c>
      <c r="H117" s="22">
        <f>E117-G117</f>
        <v>10540.66286</v>
      </c>
      <c r="I117" s="22">
        <f>4770.22</f>
        <v>4770.22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65.72715</f>
        <v>65.727149999999995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907.934</f>
        <v>907.93399999999997</v>
      </c>
      <c r="G119" s="92">
        <f>28099.0473+2507.8098</f>
        <v>30606.857099999997</v>
      </c>
      <c r="H119" s="92">
        <f>E119-G119</f>
        <v>20823.142900000003</v>
      </c>
      <c r="I119" s="92">
        <f>14574.935</f>
        <v>14574.934999999999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644.82257000000004</v>
      </c>
      <c r="G120" s="91">
        <f t="shared" ref="G120" si="14">G121+G126+G129</f>
        <v>39900.438739999998</v>
      </c>
      <c r="H120" s="91">
        <f>H121+H126+H129</f>
        <v>35144.561260000002</v>
      </c>
      <c r="I120" s="91">
        <f>I121+I126+I129</f>
        <v>57807.387549999999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481.28074000000004</v>
      </c>
      <c r="G121" s="121">
        <f>G122+G123+G125+G124</f>
        <v>29576.214899999999</v>
      </c>
      <c r="H121" s="121">
        <f>H122+H123+H124+H125</f>
        <v>26782.785100000001</v>
      </c>
      <c r="I121" s="121">
        <f>I122+I123+I124+I125</f>
        <v>43847.086920000002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155.61716</f>
        <v>155.61716000000001</v>
      </c>
      <c r="G122" s="123">
        <f>7140.60361</f>
        <v>7140.6036100000001</v>
      </c>
      <c r="H122" s="123">
        <f>E122-G122</f>
        <v>8875.3963899999999</v>
      </c>
      <c r="I122" s="123">
        <f>8376.36681</f>
        <v>8376.3668099999995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59.69599</f>
        <v>59.695990000000002</v>
      </c>
      <c r="G123" s="123">
        <f>8657.55276-86.9647</f>
        <v>8570.58806</v>
      </c>
      <c r="H123" s="123">
        <f>E123-G123</f>
        <v>6283.41194</v>
      </c>
      <c r="I123" s="123">
        <f>11710.95464</f>
        <v>11710.95464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144.52419</f>
        <v>144.52419</v>
      </c>
      <c r="G124" s="123">
        <f>7649.77051-386.5667</f>
        <v>7263.20381</v>
      </c>
      <c r="H124" s="123">
        <f>E124-G124</f>
        <v>5608.79619</v>
      </c>
      <c r="I124" s="123">
        <f>11859.39205</f>
        <v>11859.39205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121.4434</f>
        <v>121.4434</v>
      </c>
      <c r="G125" s="123">
        <f>8636.09782-2034.2784</f>
        <v>6601.8194200000007</v>
      </c>
      <c r="H125" s="123">
        <f>E125-G125</f>
        <v>6015.1805799999993</v>
      </c>
      <c r="I125" s="123">
        <f>11900.37342</f>
        <v>11900.37342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1.8815999999999999</v>
      </c>
      <c r="G126" s="129">
        <f>SUM(G127:G128)</f>
        <v>5965.2802799999999</v>
      </c>
      <c r="H126" s="129">
        <f>H127+H128</f>
        <v>1776.7197199999996</v>
      </c>
      <c r="I126" s="129">
        <f>SUM(I127:I128)</f>
        <v>8898.8997400000007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5803.43569</f>
        <v>5803.4356900000002</v>
      </c>
      <c r="H127" s="123">
        <f t="shared" ref="H127:H135" si="15">E127-G127</f>
        <v>1438.5643099999998</v>
      </c>
      <c r="I127" s="123">
        <f>8471.01749</f>
        <v>8471.0174900000002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1.8816</f>
        <v>1.8815999999999999</v>
      </c>
      <c r="G128" s="123">
        <f>161.84459</f>
        <v>161.84459000000001</v>
      </c>
      <c r="H128" s="123">
        <f t="shared" si="15"/>
        <v>338.15540999999996</v>
      </c>
      <c r="I128" s="123">
        <f>427.88225</f>
        <v>427.88225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161.66023</f>
        <v>161.66023000000001</v>
      </c>
      <c r="G129" s="72">
        <f>4358.94356</f>
        <v>4358.9435599999997</v>
      </c>
      <c r="H129" s="72">
        <f t="shared" si="15"/>
        <v>6585.0564400000003</v>
      </c>
      <c r="I129" s="72">
        <f>5061.40089</f>
        <v>5061.4008899999999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6.24964</f>
        <v>6.2496400000000003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</f>
        <v>0</v>
      </c>
      <c r="G134" s="95">
        <f>87.5696</f>
        <v>87.569599999999994</v>
      </c>
      <c r="H134" s="136">
        <f t="shared" si="15"/>
        <v>225.43040000000002</v>
      </c>
      <c r="I134" s="95">
        <f>45.40311</f>
        <v>45.403109999999998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0.057</f>
        <v>5.7000000000000002E-2</v>
      </c>
      <c r="G135" s="136">
        <f>85.46228</f>
        <v>85.462280000000007</v>
      </c>
      <c r="H135" s="136">
        <f t="shared" si="15"/>
        <v>-85.462280000000007</v>
      </c>
      <c r="I135" s="136">
        <f>115.25624</f>
        <v>115.25624000000001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1655.2669100000001</v>
      </c>
      <c r="G137" s="73">
        <f>G115+G119+G120+G130+G131+G132+G133+G134+G135</f>
        <v>107346.84864000003</v>
      </c>
      <c r="H137" s="73">
        <f>H115+H119+H120+H130+H131+H132+H133+H134+H135</f>
        <v>92952.151359999989</v>
      </c>
      <c r="I137" s="73">
        <f>I115+I119+I120+I130+I131+I132+I133+I134+I135</f>
        <v>118121.31191999998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0</f>
        <v>0</v>
      </c>
      <c r="F160" s="297">
        <f>851.20623</f>
        <v>851.20623000000001</v>
      </c>
      <c r="G160" s="42">
        <f>D160-F160-F161</f>
        <v>1700.4019600000001</v>
      </c>
      <c r="H160" s="297">
        <f>853.47684</f>
        <v>853.47684000000004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1210.39181</f>
        <v>1210.3918100000001</v>
      </c>
      <c r="G161" s="219"/>
      <c r="H161" s="148">
        <f>1377.89105</f>
        <v>1377.89105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94.753</f>
        <v>94.753</v>
      </c>
      <c r="G162" s="166">
        <f>D162-F162</f>
        <v>105.247</v>
      </c>
      <c r="H162" s="166">
        <f>88.90728</f>
        <v>88.90728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92.865230000000011</v>
      </c>
      <c r="F163" s="175">
        <f>F164+F165+F166</f>
        <v>5317.1696499999998</v>
      </c>
      <c r="G163" s="175">
        <f>D163-F163</f>
        <v>324.83035000000018</v>
      </c>
      <c r="H163" s="175">
        <f>H164+H165+H166</f>
        <v>5893.4576900000002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58.17974</f>
        <v>58.179740000000002</v>
      </c>
      <c r="F164" s="123">
        <f>3040.55763</f>
        <v>3040.5576299999998</v>
      </c>
      <c r="G164" s="123"/>
      <c r="H164" s="123">
        <f>3079.708</f>
        <v>3079.7080000000001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17.61465</f>
        <v>17.614650000000001</v>
      </c>
      <c r="F165" s="123">
        <f>1520.9598</f>
        <v>1520.9598000000001</v>
      </c>
      <c r="G165" s="123"/>
      <c r="H165" s="123">
        <f>1780.79994</f>
        <v>1780.7999400000001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17.07084</f>
        <v>17.07084</v>
      </c>
      <c r="F166" s="186">
        <f>755.65222</f>
        <v>755.65222000000006</v>
      </c>
      <c r="G166" s="186"/>
      <c r="H166" s="186">
        <f>1032.94975</f>
        <v>1032.94975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92.865230000000011</v>
      </c>
      <c r="F169" s="188">
        <f>F160+F161+F162+F163+F167+F168</f>
        <v>7478.8737899999996</v>
      </c>
      <c r="G169" s="188">
        <f>D169-F169</f>
        <v>2196.1262100000004</v>
      </c>
      <c r="H169" s="188">
        <f>H160+H161+H162+H163+H167+H168</f>
        <v>8213.7328600000001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0</f>
        <v>0</v>
      </c>
      <c r="G189" s="124">
        <f>42247.90543</f>
        <v>42247.905429999999</v>
      </c>
      <c r="H189" s="124">
        <f>D189-G189</f>
        <v>1894.0945700000011</v>
      </c>
      <c r="I189" s="124">
        <f>38843.15044</f>
        <v>38843.150439999998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0.32</f>
        <v>0.32</v>
      </c>
      <c r="G190" s="124">
        <f>35.24804</f>
        <v>35.248040000000003</v>
      </c>
      <c r="H190" s="124">
        <f>D190-G190</f>
        <v>64.751959999999997</v>
      </c>
      <c r="I190" s="124">
        <f>34.65456</f>
        <v>34.654559999999996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0.32</v>
      </c>
      <c r="G192" s="190">
        <f>SUM(G189:G191)</f>
        <v>42283.153469999997</v>
      </c>
      <c r="H192" s="190">
        <f>D192-G192</f>
        <v>1994.8465300000025</v>
      </c>
      <c r="I192" s="190">
        <f>SUM(I189:I191)</f>
        <v>38877.805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84.002229999999997</v>
      </c>
      <c r="F202" s="72">
        <f>F203+F204</f>
        <v>3284.652</v>
      </c>
      <c r="G202" s="72">
        <f>D202-F202</f>
        <v>702.34799999999996</v>
      </c>
      <c r="H202" s="72">
        <f>H203+H204</f>
        <v>3975.0896299999999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81.71432</f>
        <v>81.714320000000001</v>
      </c>
      <c r="F203" s="72">
        <f>2679.98061</f>
        <v>2679.9806100000001</v>
      </c>
      <c r="G203" s="72"/>
      <c r="H203" s="72">
        <f>3452.65111</f>
        <v>3452.6511099999998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2.28791</f>
        <v>2.2879100000000001</v>
      </c>
      <c r="F204" s="124">
        <f>604.67139</f>
        <v>604.67138999999997</v>
      </c>
      <c r="G204" s="168"/>
      <c r="H204" s="124">
        <f>522.43852</f>
        <v>522.43852000000004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56.81984</f>
        <v>56.819839999999999</v>
      </c>
      <c r="F205" s="72">
        <f>4301.33005</f>
        <v>4301.3300499999996</v>
      </c>
      <c r="G205" s="72">
        <f>D205-F205</f>
        <v>311.66995000000043</v>
      </c>
      <c r="H205" s="72">
        <f>5026.62975</f>
        <v>5026.6297500000001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140.82207</v>
      </c>
      <c r="F206" s="190">
        <f>SUM(F202,F205)</f>
        <v>7585.9820499999996</v>
      </c>
      <c r="G206" s="190">
        <f>D206-F206</f>
        <v>1014.0179500000004</v>
      </c>
      <c r="H206" s="190">
        <f>SUM(H202,H205)</f>
        <v>9001.7193800000005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153.60323</v>
      </c>
      <c r="F215" s="72">
        <f>F216+F217</f>
        <v>4313.1296700000003</v>
      </c>
      <c r="G215" s="72">
        <f>D215-F215</f>
        <v>776.87032999999974</v>
      </c>
      <c r="H215" s="72">
        <f>H216+H217</f>
        <v>4876.5552400000006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153.00508</f>
        <v>153.00507999999999</v>
      </c>
      <c r="F216" s="72">
        <f>3992.8147</f>
        <v>3992.8146999999999</v>
      </c>
      <c r="G216" s="72"/>
      <c r="H216" s="72">
        <f>4421.87113</f>
        <v>4421.8711300000004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0.59815</f>
        <v>0.59814999999999996</v>
      </c>
      <c r="F217" s="124">
        <f>320.31497</f>
        <v>320.31497000000002</v>
      </c>
      <c r="G217" s="168"/>
      <c r="H217" s="124">
        <f>454.68411</f>
        <v>454.68410999999998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52.42202</f>
        <v>52.422020000000003</v>
      </c>
      <c r="F218" s="72">
        <f>1938.59393</f>
        <v>1938.59393</v>
      </c>
      <c r="G218" s="72">
        <f>D218-F218</f>
        <v>1042.40607</v>
      </c>
      <c r="H218" s="72">
        <f>2374.43557</f>
        <v>2374.4355700000001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206.02525</v>
      </c>
      <c r="F219" s="190">
        <f>SUM(F215,F218)</f>
        <v>6251.7236000000003</v>
      </c>
      <c r="G219" s="190">
        <f>D219-F219</f>
        <v>1819.2763999999997</v>
      </c>
      <c r="H219" s="190">
        <f>SUM(H215,H218)</f>
        <v>7250.9908100000011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9.75816</f>
        <v>9.7581600000000002</v>
      </c>
      <c r="F237" s="124">
        <f>418.27859</f>
        <v>418.27859000000001</v>
      </c>
      <c r="G237" s="124">
        <f>D237-F237</f>
        <v>381.72140999999999</v>
      </c>
      <c r="H237" s="124">
        <f>484.42679</f>
        <v>484.42678999999998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14.71957</f>
        <v>14.719569999999999</v>
      </c>
      <c r="F238" s="124">
        <f>894.37629</f>
        <v>894.37629000000004</v>
      </c>
      <c r="G238" s="124">
        <f>D238-F238</f>
        <v>1298.6237099999998</v>
      </c>
      <c r="H238" s="124">
        <f>1950.53221</f>
        <v>1950.5322100000001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0.032</f>
        <v>3.2000000000000001E-2</v>
      </c>
      <c r="F240" s="168">
        <f>2.75653</f>
        <v>2.7565300000000001</v>
      </c>
      <c r="G240" s="124">
        <f>D240-F240</f>
        <v>-2.7565300000000001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24.509730000000001</v>
      </c>
      <c r="F241" s="190">
        <f>SUM(F237:F240)</f>
        <v>1318.4651100000001</v>
      </c>
      <c r="G241" s="190">
        <f>D241-F241</f>
        <v>1684.5348899999999</v>
      </c>
      <c r="H241" s="190">
        <f>H237+H238+H239+H240</f>
        <v>2438.6596199999999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876.06394999999998</v>
      </c>
      <c r="G262" s="276">
        <f t="shared" si="17"/>
        <v>15017.599770000001</v>
      </c>
      <c r="H262" s="276">
        <f>H266+H265+H264+H263</f>
        <v>12718.400229999999</v>
      </c>
      <c r="I262" s="276">
        <f t="shared" si="17"/>
        <v>13254.435359999999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832.61822</f>
        <v>832.61821999999995</v>
      </c>
      <c r="G263" s="280">
        <f>8907.16948</f>
        <v>8907.1694800000005</v>
      </c>
      <c r="H263" s="280">
        <f t="shared" ref="H263:H267" si="18">E263-G263</f>
        <v>7762.8305199999995</v>
      </c>
      <c r="I263" s="280">
        <f>7951.29251</f>
        <v>7951.2925100000002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1767.45457</f>
        <v>1767.4545700000001</v>
      </c>
      <c r="H264" s="280">
        <f t="shared" si="18"/>
        <v>2571.5454300000001</v>
      </c>
      <c r="I264" s="280">
        <f>1542.79621</f>
        <v>1542.79621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43.37073</f>
        <v>43.370730000000002</v>
      </c>
      <c r="G265" s="280">
        <f>1430.26953</f>
        <v>1430.26953</v>
      </c>
      <c r="H265" s="280">
        <f t="shared" si="18"/>
        <v>140.73046999999997</v>
      </c>
      <c r="I265" s="280">
        <f>1594.26698</f>
        <v>1594.2669800000001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0.075</f>
        <v>7.4999999999999997E-2</v>
      </c>
      <c r="G266" s="280">
        <f>2912.70619</f>
        <v>2912.7061899999999</v>
      </c>
      <c r="H266" s="280">
        <f t="shared" si="18"/>
        <v>2243.2938100000001</v>
      </c>
      <c r="I266" s="280">
        <f>2166.07966</f>
        <v>2166.0796599999999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0.076</f>
        <v>7.5999999999999998E-2</v>
      </c>
      <c r="G267" s="290">
        <f>4099.76924</f>
        <v>4099.7692399999996</v>
      </c>
      <c r="H267" s="290">
        <f t="shared" si="18"/>
        <v>1400.2307600000004</v>
      </c>
      <c r="I267" s="290">
        <f>2096.29078</f>
        <v>2096.2907799999998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64.032449999999997</v>
      </c>
      <c r="G268" s="291">
        <f>G270+G269</f>
        <v>2148.7102</v>
      </c>
      <c r="H268" s="291">
        <f>E268-G268</f>
        <v>5851.2898000000005</v>
      </c>
      <c r="I268" s="291">
        <f>I270+I269</f>
        <v>2506.2493599999998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503.44023</f>
        <v>503.44022999999999</v>
      </c>
      <c r="H269" s="280"/>
      <c r="I269" s="280">
        <f>764.40018</f>
        <v>764.40017999999998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64.03245</f>
        <v>64.032449999999997</v>
      </c>
      <c r="G270" s="299">
        <f>1645.26997</f>
        <v>1645.2699700000001</v>
      </c>
      <c r="H270" s="299"/>
      <c r="I270" s="299">
        <f>1741.84918</f>
        <v>1741.8491799999999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0.258</f>
        <v>0.25800000000000001</v>
      </c>
      <c r="G272" s="290">
        <f>158.57149</f>
        <v>158.57149000000001</v>
      </c>
      <c r="H272" s="290">
        <f>E272-G272</f>
        <v>-158.57149000000001</v>
      </c>
      <c r="I272" s="290">
        <f>102.83048</f>
        <v>102.83047999999999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940.43040000000008</v>
      </c>
      <c r="G273" s="308">
        <f t="shared" si="19"/>
        <v>21425.219200000003</v>
      </c>
      <c r="H273" s="308">
        <f>H262+H267+H268+H271+H272</f>
        <v>19823.7808</v>
      </c>
      <c r="I273" s="308">
        <f t="shared" si="19"/>
        <v>17959.92238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40.1295</v>
      </c>
      <c r="F294" s="25">
        <f>SUM(F295:F296)</f>
        <v>582.39094999999998</v>
      </c>
      <c r="G294" s="82">
        <f>D294-F294</f>
        <v>196.60905000000002</v>
      </c>
      <c r="H294" s="25">
        <f>SUM(H295:H296)</f>
        <v>617.08208000000002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29.777</f>
        <v>29.777000000000001</v>
      </c>
      <c r="F295" s="198">
        <f>445.49765</f>
        <v>445.49765000000002</v>
      </c>
      <c r="G295" s="199"/>
      <c r="H295" s="198">
        <f>479.08558</f>
        <v>479.08557999999999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10.3525</f>
        <v>10.352499999999999</v>
      </c>
      <c r="F296" s="202">
        <f>136.8933</f>
        <v>136.89330000000001</v>
      </c>
      <c r="G296" s="203"/>
      <c r="H296" s="202">
        <f>137.9965</f>
        <v>137.9965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40.1295</v>
      </c>
      <c r="F304" s="39">
        <f>F294+F297+F300+F303</f>
        <v>582.39094999999998</v>
      </c>
      <c r="G304" s="40">
        <f>D304-F304</f>
        <v>1755.60905</v>
      </c>
      <c r="H304" s="39">
        <f>H294+H297+H300+H303</f>
        <v>617.08208000000002</v>
      </c>
      <c r="I304" s="26"/>
      <c r="J304" s="127"/>
    </row>
    <row r="305" spans="1:10" ht="42" customHeight="1" x14ac:dyDescent="0.2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61.92204</f>
        <v>61.922040000000003</v>
      </c>
      <c r="F322" s="29">
        <f>920.29571</f>
        <v>920.29570999999999</v>
      </c>
      <c r="G322" s="238">
        <f>D322-F322</f>
        <v>-672.29570999999999</v>
      </c>
      <c r="H322" s="29">
        <f>488.34582</f>
        <v>488.34582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30.23141</f>
        <v>30.23141</v>
      </c>
      <c r="F323" s="29">
        <f>1368.47084</f>
        <v>1368.47084</v>
      </c>
      <c r="G323" s="241">
        <f>D323-F323</f>
        <v>20679.529159999998</v>
      </c>
      <c r="H323" s="29">
        <f>1770.71361</f>
        <v>1770.71361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92.153450000000007</v>
      </c>
      <c r="F324" s="39">
        <f>F323+F322</f>
        <v>2288.7665499999998</v>
      </c>
      <c r="G324" s="39">
        <f>G323+G322</f>
        <v>20007.23345</v>
      </c>
      <c r="H324" s="39">
        <f>H323+H322</f>
        <v>2259.0594300000002</v>
      </c>
      <c r="I324" s="26"/>
      <c r="J324" s="127"/>
    </row>
    <row r="325" spans="1:10" ht="22.5" customHeight="1" x14ac:dyDescent="0.2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35&amp;R01.09.2025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Nadia Jdaini</cp:lastModifiedBy>
  <cp:lastPrinted>2022-11-14T12:51:47Z</cp:lastPrinted>
  <dcterms:created xsi:type="dcterms:W3CDTF">2022-08-01T13:23:35Z</dcterms:created>
  <dcterms:modified xsi:type="dcterms:W3CDTF">2025-09-01T12:17:27Z</dcterms:modified>
</cp:coreProperties>
</file>