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525294BC-D08E-42E9-B035-2E7597074B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G119" i="1"/>
  <c r="E119" i="1"/>
  <c r="H345" i="1" l="1"/>
  <c r="G345" i="1"/>
  <c r="F345" i="1"/>
  <c r="E345" i="1"/>
  <c r="D345" i="1"/>
  <c r="G344" i="1"/>
  <c r="G343" i="1"/>
  <c r="E336" i="1"/>
  <c r="D324" i="1"/>
  <c r="H323" i="1"/>
  <c r="G323" i="1"/>
  <c r="F323" i="1"/>
  <c r="E323" i="1"/>
  <c r="E324" i="1" s="1"/>
  <c r="H322" i="1"/>
  <c r="H324" i="1" s="1"/>
  <c r="F322" i="1"/>
  <c r="F324" i="1" s="1"/>
  <c r="E322" i="1"/>
  <c r="E315" i="1"/>
  <c r="D304" i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E298" i="1"/>
  <c r="H297" i="1"/>
  <c r="F297" i="1"/>
  <c r="G297" i="1" s="1"/>
  <c r="E297" i="1"/>
  <c r="H296" i="1"/>
  <c r="F296" i="1"/>
  <c r="E296" i="1"/>
  <c r="H295" i="1"/>
  <c r="F295" i="1"/>
  <c r="F294" i="1" s="1"/>
  <c r="E295" i="1"/>
  <c r="H294" i="1"/>
  <c r="H304" i="1" s="1"/>
  <c r="E294" i="1"/>
  <c r="E304" i="1" s="1"/>
  <c r="E273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G267" i="1"/>
  <c r="H267" i="1" s="1"/>
  <c r="F267" i="1"/>
  <c r="I266" i="1"/>
  <c r="I262" i="1" s="1"/>
  <c r="I273" i="1" s="1"/>
  <c r="H266" i="1"/>
  <c r="G266" i="1"/>
  <c r="F266" i="1"/>
  <c r="I265" i="1"/>
  <c r="G265" i="1"/>
  <c r="G262" i="1" s="1"/>
  <c r="G273" i="1" s="1"/>
  <c r="F265" i="1"/>
  <c r="I264" i="1"/>
  <c r="H264" i="1"/>
  <c r="G264" i="1"/>
  <c r="F264" i="1"/>
  <c r="F262" i="1" s="1"/>
  <c r="F273" i="1" s="1"/>
  <c r="I263" i="1"/>
  <c r="G263" i="1"/>
  <c r="H263" i="1" s="1"/>
  <c r="F263" i="1"/>
  <c r="E262" i="1"/>
  <c r="D262" i="1"/>
  <c r="H254" i="1"/>
  <c r="F254" i="1"/>
  <c r="D251" i="1"/>
  <c r="D250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F241" i="1" s="1"/>
  <c r="G241" i="1" s="1"/>
  <c r="E238" i="1"/>
  <c r="H237" i="1"/>
  <c r="H241" i="1" s="1"/>
  <c r="G237" i="1"/>
  <c r="F237" i="1"/>
  <c r="E237" i="1"/>
  <c r="E241" i="1" s="1"/>
  <c r="D230" i="1"/>
  <c r="D219" i="1"/>
  <c r="H218" i="1"/>
  <c r="G218" i="1"/>
  <c r="F218" i="1"/>
  <c r="E218" i="1"/>
  <c r="H217" i="1"/>
  <c r="H215" i="1" s="1"/>
  <c r="H219" i="1" s="1"/>
  <c r="F217" i="1"/>
  <c r="E217" i="1"/>
  <c r="H216" i="1"/>
  <c r="F216" i="1"/>
  <c r="E216" i="1"/>
  <c r="E215" i="1" s="1"/>
  <c r="E219" i="1" s="1"/>
  <c r="G215" i="1"/>
  <c r="F215" i="1"/>
  <c r="F219" i="1" s="1"/>
  <c r="G219" i="1" s="1"/>
  <c r="H206" i="1"/>
  <c r="D206" i="1"/>
  <c r="H205" i="1"/>
  <c r="G205" i="1"/>
  <c r="F205" i="1"/>
  <c r="E205" i="1"/>
  <c r="H204" i="1"/>
  <c r="F204" i="1"/>
  <c r="E204" i="1"/>
  <c r="H203" i="1"/>
  <c r="F203" i="1"/>
  <c r="F202" i="1" s="1"/>
  <c r="E203" i="1"/>
  <c r="E202" i="1" s="1"/>
  <c r="E206" i="1" s="1"/>
  <c r="H202" i="1"/>
  <c r="G192" i="1"/>
  <c r="E192" i="1"/>
  <c r="D192" i="1"/>
  <c r="H192" i="1" s="1"/>
  <c r="I191" i="1"/>
  <c r="G191" i="1"/>
  <c r="H191" i="1" s="1"/>
  <c r="F191" i="1"/>
  <c r="I190" i="1"/>
  <c r="I192" i="1" s="1"/>
  <c r="H190" i="1"/>
  <c r="G190" i="1"/>
  <c r="F190" i="1"/>
  <c r="F192" i="1" s="1"/>
  <c r="I189" i="1"/>
  <c r="G189" i="1"/>
  <c r="H189" i="1" s="1"/>
  <c r="F189" i="1"/>
  <c r="E16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H163" i="1" s="1"/>
  <c r="H169" i="1" s="1"/>
  <c r="F164" i="1"/>
  <c r="E164" i="1"/>
  <c r="F163" i="1"/>
  <c r="G163" i="1" s="1"/>
  <c r="E163" i="1"/>
  <c r="H162" i="1"/>
  <c r="G162" i="1"/>
  <c r="F162" i="1"/>
  <c r="E162" i="1"/>
  <c r="H161" i="1"/>
  <c r="F161" i="1"/>
  <c r="E161" i="1"/>
  <c r="H160" i="1"/>
  <c r="F160" i="1"/>
  <c r="F169" i="1" s="1"/>
  <c r="G169" i="1" s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H131" i="1"/>
  <c r="G131" i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I126" i="1" s="1"/>
  <c r="H127" i="1"/>
  <c r="G127" i="1"/>
  <c r="F127" i="1"/>
  <c r="F126" i="1" s="1"/>
  <c r="G126" i="1"/>
  <c r="E126" i="1"/>
  <c r="D126" i="1"/>
  <c r="D120" i="1" s="1"/>
  <c r="I125" i="1"/>
  <c r="H125" i="1"/>
  <c r="F125" i="1"/>
  <c r="I124" i="1"/>
  <c r="G124" i="1"/>
  <c r="H124" i="1" s="1"/>
  <c r="F124" i="1"/>
  <c r="I123" i="1"/>
  <c r="H123" i="1"/>
  <c r="G123" i="1"/>
  <c r="F123" i="1"/>
  <c r="I122" i="1"/>
  <c r="I121" i="1" s="1"/>
  <c r="G122" i="1"/>
  <c r="H122" i="1" s="1"/>
  <c r="F122" i="1"/>
  <c r="F121" i="1" s="1"/>
  <c r="F120" i="1" s="1"/>
  <c r="F137" i="1" s="1"/>
  <c r="E121" i="1"/>
  <c r="E120" i="1" s="1"/>
  <c r="D121" i="1"/>
  <c r="I119" i="1"/>
  <c r="H119" i="1"/>
  <c r="F119" i="1"/>
  <c r="I118" i="1"/>
  <c r="H118" i="1"/>
  <c r="G118" i="1"/>
  <c r="F118" i="1"/>
  <c r="I117" i="1"/>
  <c r="G117" i="1"/>
  <c r="H117" i="1" s="1"/>
  <c r="F117" i="1"/>
  <c r="I116" i="1"/>
  <c r="H116" i="1"/>
  <c r="G116" i="1"/>
  <c r="F116" i="1"/>
  <c r="I115" i="1"/>
  <c r="G115" i="1"/>
  <c r="F115" i="1"/>
  <c r="E115" i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I83" i="1" s="1"/>
  <c r="I82" i="1" s="1"/>
  <c r="H85" i="1"/>
  <c r="G85" i="1"/>
  <c r="F85" i="1"/>
  <c r="I84" i="1"/>
  <c r="H84" i="1"/>
  <c r="H83" i="1" s="1"/>
  <c r="H82" i="1" s="1"/>
  <c r="G84" i="1"/>
  <c r="G83" i="1" s="1"/>
  <c r="G82" i="1" s="1"/>
  <c r="F84" i="1"/>
  <c r="F83" i="1"/>
  <c r="F82" i="1" s="1"/>
  <c r="E83" i="1"/>
  <c r="E82" i="1" s="1"/>
  <c r="D83" i="1"/>
  <c r="D82" i="1" s="1"/>
  <c r="D94" i="1" s="1"/>
  <c r="I81" i="1"/>
  <c r="H81" i="1"/>
  <c r="H79" i="1" s="1"/>
  <c r="H94" i="1" s="1"/>
  <c r="G81" i="1"/>
  <c r="F81" i="1"/>
  <c r="I80" i="1"/>
  <c r="I79" i="1" s="1"/>
  <c r="I94" i="1" s="1"/>
  <c r="H80" i="1"/>
  <c r="G80" i="1"/>
  <c r="F80" i="1"/>
  <c r="F79" i="1" s="1"/>
  <c r="F94" i="1" s="1"/>
  <c r="G79" i="1"/>
  <c r="G94" i="1" s="1"/>
  <c r="E79" i="1"/>
  <c r="E94" i="1" s="1"/>
  <c r="D79" i="1"/>
  <c r="C76" i="1"/>
  <c r="H72" i="1"/>
  <c r="F72" i="1"/>
  <c r="D72" i="1"/>
  <c r="H58" i="1"/>
  <c r="H57" i="1"/>
  <c r="I52" i="1"/>
  <c r="I31" i="1" s="1"/>
  <c r="H52" i="1"/>
  <c r="G52" i="1"/>
  <c r="F52" i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F33" i="1" s="1"/>
  <c r="I34" i="1"/>
  <c r="I33" i="1" s="1"/>
  <c r="G34" i="1"/>
  <c r="G33" i="1" s="1"/>
  <c r="F34" i="1"/>
  <c r="E33" i="1"/>
  <c r="E25" i="1" s="1"/>
  <c r="D33" i="1"/>
  <c r="I32" i="1"/>
  <c r="H32" i="1"/>
  <c r="G32" i="1"/>
  <c r="F32" i="1"/>
  <c r="H31" i="1"/>
  <c r="G31" i="1"/>
  <c r="F31" i="1"/>
  <c r="I30" i="1"/>
  <c r="G30" i="1"/>
  <c r="H30" i="1" s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F26" i="1" s="1"/>
  <c r="E26" i="1"/>
  <c r="D26" i="1"/>
  <c r="D25" i="1" s="1"/>
  <c r="I24" i="1"/>
  <c r="H24" i="1"/>
  <c r="G24" i="1"/>
  <c r="F24" i="1"/>
  <c r="I23" i="1"/>
  <c r="I22" i="1" s="1"/>
  <c r="G23" i="1"/>
  <c r="H23" i="1" s="1"/>
  <c r="F23" i="1"/>
  <c r="G22" i="1"/>
  <c r="F22" i="1"/>
  <c r="E22" i="1"/>
  <c r="D22" i="1"/>
  <c r="D42" i="1" s="1"/>
  <c r="H16" i="1"/>
  <c r="F16" i="1"/>
  <c r="D16" i="1"/>
  <c r="H26" i="1" l="1"/>
  <c r="G26" i="1"/>
  <c r="G25" i="1"/>
  <c r="E42" i="1"/>
  <c r="H22" i="1"/>
  <c r="F25" i="1"/>
  <c r="F42" i="1" s="1"/>
  <c r="H121" i="1"/>
  <c r="H115" i="1"/>
  <c r="I120" i="1"/>
  <c r="I137" i="1" s="1"/>
  <c r="F304" i="1"/>
  <c r="G294" i="1"/>
  <c r="G42" i="1"/>
  <c r="D137" i="1"/>
  <c r="H126" i="1"/>
  <c r="G202" i="1"/>
  <c r="F206" i="1"/>
  <c r="G304" i="1"/>
  <c r="I26" i="1"/>
  <c r="I25" i="1" s="1"/>
  <c r="I42" i="1" s="1"/>
  <c r="E137" i="1"/>
  <c r="G206" i="1"/>
  <c r="H33" i="1"/>
  <c r="H265" i="1"/>
  <c r="H262" i="1" s="1"/>
  <c r="H273" i="1" s="1"/>
  <c r="G121" i="1"/>
  <c r="G120" i="1" s="1"/>
  <c r="G137" i="1" s="1"/>
  <c r="H34" i="1"/>
  <c r="G160" i="1"/>
  <c r="G322" i="1"/>
  <c r="G324" i="1" s="1"/>
  <c r="H25" i="1" l="1"/>
  <c r="H42" i="1"/>
  <c r="H120" i="1"/>
  <c r="H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<sst xmlns="http://schemas.openxmlformats.org/spreadsheetml/2006/main" count="393" uniqueCount="167">
  <si>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</si>
  <si>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</si>
  <si>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</si>
  <si>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</si>
  <si>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</si>
  <si>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</si>
  <si>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</si>
  <si>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</si>
  <si>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</si>
  <si>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</si>
  <si>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</si>
  <si>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</si>
  <si>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</si>
  <si>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</si>
  <si>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</si>
  <si>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</si>
  <si>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</si>
  <si>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</si>
  <si>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</si>
  <si>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</si>
  <si>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</si>
  <si>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</si>
  <si>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</si>
  <si>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</si>
  <si>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</si>
  <si>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</si>
  <si>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</si>
  <si>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</si>
  <si>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</si>
  <si>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</si>
  <si>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</si>
  <si>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</si>
  <si>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</si>
  <si>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</si>
  <si>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</si>
  <si>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</si>
  <si>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</si>
  <si>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</si>
  <si>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</si>
  <si>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</si>
  <si>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</si>
  <si>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</si>
  <si>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</si>
  <si>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</si>
  <si>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</si>
  <si>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</si>
  <si>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</si>
  <si>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</si>
  <si>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</si>
  <si>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</si>
  <si>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</si>
  <si>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</si>
  <si>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</si>
  <si>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</si>
  <si>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</si>
  <si>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</si>
  <si>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</si>
  <si>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</si>
  <si>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</si>
  <si>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</si>
  <si>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</si>
  <si>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</si>
  <si>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</si>
  <si>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</si>
  <si>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</si>
  <si>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</si>
  <si>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</si>
  <si>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</si>
  <si>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</si>
  <si>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</si>
  <si>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</si>
  <si>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</si>
  <si>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</si>
  <si>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</si>
  <si>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</si>
  <si>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</si>
  <si>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</si>
  <si>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</si>
  <si>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</si>
  <si>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</si>
  <si>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</si>
  <si>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</si>
  <si>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</si>
  <si>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</si>
  <si>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</si>
  <si>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</si>
  <si>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</si>
  <si>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</si>
  <si>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</si>
  <si>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</si>
  <si>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</si>
  <si>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</si>
  <si>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</si>
  <si>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</si>
  <si>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</si>
  <si>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</si>
  <si>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</si>
  <si>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</si>
  <si>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</si>
  <si>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</si>
  <si>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</si>
  <si>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</si>
  <si>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</si>
  <si>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</si>
  <si>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</si>
  <si>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</si>
  <si>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</si>
  <si>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</si>
  <si>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</si>
  <si>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</si>
  <si>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</si>
  <si>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</si>
  <si>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</si>
  <si>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</si>
  <si>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</si>
  <si>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</si>
  <si>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</si>
  <si>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</si>
  <si>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</si>
  <si>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</si>
  <si>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</si>
  <si>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</si>
  <si>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</si>
  <si>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</si>
  <si>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</si>
  <si>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</si>
  <si>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</si>
  <si>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</si>
  <si>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</si>
  <si>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</si>
  <si>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</si>
  <si>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</si>
  <si>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</si>
  <si>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</si>
  <si>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</si>
  <si>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</si>
  <si>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</si>
  <si>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</si>
  <si>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</si>
  <si>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</si>
  <si>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</si>
  <si>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</si>
  <si>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</si>
  <si>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</si>
  <si>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</si>
  <si>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</si>
  <si>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</si>
  <si>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</si>
  <si>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</si>
  <si>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</si>
  <si>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</si>
  <si>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</si>
  <si>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</si>
  <si>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</si>
  <si>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</si>
  <si>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</si>
  <si>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</si>
  <si>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</si>
  <si>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</si>
  <si>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39 tonn, men det legges til grunn at hele avsetningen tas</t>
  </si>
  <si>
    <t>4 Registrert rekreasjonsfiske utgjør 196 tonn, men det legges til grunn at hele avsetningen tas</t>
  </si>
  <si>
    <t>3 Registrert rekreasjonsfiske utgjør 551 tonn, men det legges til grunn at hele avsetningen tas</t>
  </si>
  <si>
    <t>FANGST UKE 26</t>
  </si>
  <si>
    <t>FANGST T.O.M UKE 26</t>
  </si>
  <si>
    <t>RESTKVOTER UKE 26</t>
  </si>
  <si>
    <t>FANGST T.O.M UKE 26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</si>
  <si>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1106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</si>
</sst>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20" zoomScale="112" zoomScaleNormal="55" zoomScaleSheetLayoutView="100" zoomScalePageLayoutView="85" workbookViewId="0">
      <selection activeCell="G125" sqref="G125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13" t="s">
        <v>123</v>
      </c>
      <c r="C2" s="314"/>
      <c r="D2" s="314"/>
      <c r="E2" s="314"/>
      <c r="F2" s="314"/>
      <c r="G2" s="314"/>
      <c r="H2" s="314"/>
      <c r="I2" s="314"/>
      <c r="J2" s="315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16"/>
      <c r="C9" s="317"/>
      <c r="D9" s="317"/>
      <c r="E9" s="317"/>
      <c r="F9" s="317"/>
      <c r="G9" s="317"/>
      <c r="H9" s="317"/>
      <c r="I9" s="317"/>
      <c r="J9" s="318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19" t="s">
        <v>1</v>
      </c>
      <c r="D11" s="320"/>
      <c r="E11" s="319" t="s">
        <v>2</v>
      </c>
      <c r="F11" s="320"/>
      <c r="G11" s="319" t="s">
        <v>3</v>
      </c>
      <c r="H11" s="320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25" t="s">
        <v>143</v>
      </c>
      <c r="D17" s="325"/>
      <c r="E17" s="325"/>
      <c r="F17" s="325"/>
      <c r="G17" s="325"/>
      <c r="H17" s="325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242.667</v>
      </c>
      <c r="G22" s="27">
        <f t="shared" si="0"/>
        <v>20163.058360000003</v>
      </c>
      <c r="H22" s="10">
        <f t="shared" si="0"/>
        <v>21422.941639999997</v>
      </c>
      <c r="I22" s="10">
        <f t="shared" si="0"/>
        <v>37091.713799999998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242.667</f>
        <v>242.667</v>
      </c>
      <c r="G23" s="22">
        <f>19808.43571</f>
        <v>19808.435710000002</v>
      </c>
      <c r="H23" s="22">
        <f>E23-G23</f>
        <v>21014.564289999998</v>
      </c>
      <c r="I23" s="22">
        <f>36572.02572</f>
        <v>36572.025719999998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354.62265</f>
        <v>354.62265000000002</v>
      </c>
      <c r="H24" s="22">
        <f>E24-G24</f>
        <v>408.37734999999998</v>
      </c>
      <c r="I24" s="22">
        <f>519.68808</f>
        <v>519.68808000000001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676.88670000000002</v>
      </c>
      <c r="G25" s="10">
        <f t="shared" si="1"/>
        <v>98253.149670000013</v>
      </c>
      <c r="H25" s="10">
        <f t="shared" si="1"/>
        <v>23414.850329999994</v>
      </c>
      <c r="I25" s="10">
        <f t="shared" si="1"/>
        <v>116407.09491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589.97641999999996</v>
      </c>
      <c r="G26" s="129">
        <f>G27+G28+G29+G30+G31</f>
        <v>77058.135070000004</v>
      </c>
      <c r="H26" s="129">
        <f t="shared" ref="H26:I26" si="2">H27+H28+H29+H30+H31</f>
        <v>17834.864929999996</v>
      </c>
      <c r="I26" s="129">
        <f t="shared" si="2"/>
        <v>92548.388449999999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92.60489 - F55</f>
        <v>92.604889999999997</v>
      </c>
      <c r="G27" s="123">
        <f>22432.05466 - G55</f>
        <v>22432.054660000002</v>
      </c>
      <c r="H27" s="123">
        <f t="shared" ref="H27:H39" si="3">E27-G27</f>
        <v>2720.9453399999984</v>
      </c>
      <c r="I27" s="123">
        <f>25440.3301 - I55</f>
        <v>25440.330099999999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25.31337 - F56</f>
        <v>25.313369999999999</v>
      </c>
      <c r="G28" s="123">
        <f>21742.69021 - G56</f>
        <v>21742.690210000001</v>
      </c>
      <c r="H28" s="123">
        <f t="shared" si="3"/>
        <v>2251.3097899999993</v>
      </c>
      <c r="I28" s="123">
        <f>26772.85868 - I56</f>
        <v>26772.858680000001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123.7487 - F57</f>
        <v>123.7487</v>
      </c>
      <c r="G29" s="123">
        <f>20546.27101 - G57</f>
        <v>20546.27101</v>
      </c>
      <c r="H29" s="123">
        <f t="shared" si="3"/>
        <v>1323.7289899999996</v>
      </c>
      <c r="I29" s="123">
        <f>24800.14487 - I57</f>
        <v>24800.14487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373.30946 - F58</f>
        <v>348.30946</v>
      </c>
      <c r="G30" s="123">
        <f>14198.11919 - G58</f>
        <v>12337.119189999999</v>
      </c>
      <c r="H30" s="123">
        <f t="shared" si="3"/>
        <v>3307.8808100000006</v>
      </c>
      <c r="I30" s="123">
        <f>18127.0548 - I58</f>
        <v>15535.054800000002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1.36492</f>
        <v>1.3649199999999999</v>
      </c>
      <c r="G32" s="129">
        <f>8575.92182</f>
        <v>8575.9218199999996</v>
      </c>
      <c r="H32" s="129">
        <f t="shared" si="3"/>
        <v>5103.0781800000004</v>
      </c>
      <c r="I32" s="129">
        <f>9829.95602</f>
        <v>9829.9560199999996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85.545360000000002</v>
      </c>
      <c r="G33" s="129">
        <f>G34+G35</f>
        <v>12619.092780000001</v>
      </c>
      <c r="H33" s="129">
        <f t="shared" si="3"/>
        <v>476.90721999999914</v>
      </c>
      <c r="I33" s="129">
        <f>I34+I35</f>
        <v>14028.75044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85.54536 - F59 - F60</f>
        <v>85.545360000000002</v>
      </c>
      <c r="G34" s="129">
        <f>12619.09278 - G59 - G60</f>
        <v>12619.092780000001</v>
      </c>
      <c r="H34" s="123">
        <f t="shared" si="3"/>
        <v>-483.09278000000086</v>
      </c>
      <c r="I34" s="123">
        <f>14028.75044 - I59 - I60</f>
        <v>14028.75044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1.28</f>
        <v>1.28</v>
      </c>
      <c r="G36" s="136">
        <f>267.7468</f>
        <v>267.74680000000001</v>
      </c>
      <c r="H36" s="136">
        <f t="shared" si="3"/>
        <v>732.25319999999999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0</f>
        <v>0</v>
      </c>
      <c r="G37" s="95">
        <f>551.24825</f>
        <v>551.24824999999998</v>
      </c>
      <c r="H37" s="95">
        <f t="shared" si="3"/>
        <v>303.75175000000002</v>
      </c>
      <c r="I37" s="95">
        <f>463.82117</f>
        <v>463.82117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25</v>
      </c>
      <c r="G38" s="95">
        <f>G58</f>
        <v>1861</v>
      </c>
      <c r="H38" s="95">
        <f t="shared" si="3"/>
        <v>1139</v>
      </c>
      <c r="I38" s="95">
        <f>I58</f>
        <v>2592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27.18082</f>
        <v>27.180820000000001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0.22186</f>
        <v>0.22186</v>
      </c>
      <c r="G40" s="95">
        <f>364.15473</f>
        <v>364.15472999999997</v>
      </c>
      <c r="H40" s="95">
        <f>E40-G40</f>
        <v>85.845270000000028</v>
      </c>
      <c r="I40" s="95">
        <f>318.79341</f>
        <v>318.79340999999999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66.65963</f>
        <v>66.659630000000007</v>
      </c>
      <c r="H41" s="136">
        <f t="shared" ref="H41" si="4">E41-G41</f>
        <v>-66.659630000000007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973.23638000000005</v>
      </c>
      <c r="G42" s="73">
        <f t="shared" si="5"/>
        <v>128527.01744</v>
      </c>
      <c r="H42" s="73">
        <f t="shared" si="5"/>
        <v>47031.982559999989</v>
      </c>
      <c r="I42" s="73">
        <f t="shared" si="5"/>
        <v>164307.22075000004</v>
      </c>
      <c r="J42" s="267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8" t="s">
        <v>43</v>
      </c>
      <c r="D49" s="328"/>
      <c r="E49" s="328"/>
      <c r="F49" s="328"/>
      <c r="G49" s="328"/>
      <c r="H49" s="328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45</v>
      </c>
      <c r="D52" s="329">
        <v>7872</v>
      </c>
      <c r="E52" s="329">
        <v>8231</v>
      </c>
      <c r="F52" s="10">
        <f>F56+F55+F54+F53</f>
        <v>0</v>
      </c>
      <c r="G52" s="10">
        <f>G56+G55+G54+G53</f>
        <v>0</v>
      </c>
      <c r="H52" s="329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30"/>
      <c r="E53" s="330"/>
      <c r="F53" s="123"/>
      <c r="G53" s="123"/>
      <c r="H53" s="330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30"/>
      <c r="E54" s="330"/>
      <c r="F54" s="123"/>
      <c r="G54" s="123"/>
      <c r="H54" s="330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30"/>
      <c r="E55" s="330"/>
      <c r="F55" s="123"/>
      <c r="G55" s="123"/>
      <c r="H55" s="330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31"/>
      <c r="E56" s="331"/>
      <c r="F56" s="186"/>
      <c r="G56" s="186"/>
      <c r="H56" s="331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25</v>
      </c>
      <c r="G58" s="136">
        <v>1861</v>
      </c>
      <c r="H58" s="136">
        <f>E58-G58</f>
        <v>1139</v>
      </c>
      <c r="I58" s="136">
        <v>2592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19" t="s">
        <v>1</v>
      </c>
      <c r="D68" s="320"/>
      <c r="E68" s="319" t="s">
        <v>2</v>
      </c>
      <c r="F68" s="332"/>
      <c r="G68" s="319" t="s">
        <v>3</v>
      </c>
      <c r="H68" s="320"/>
      <c r="I68" s="173"/>
      <c r="J68" s="267"/>
    </row>
    <row r="69" spans="1:10" ht="15" customHeight="1" x14ac:dyDescent="0.35">
      <c r="B69" s="277"/>
      <c r="C69" s="110" t="s">
        <v>142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144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17.767399999999999</v>
      </c>
      <c r="G79" s="10">
        <f t="shared" si="6"/>
        <v>19442.8557</v>
      </c>
      <c r="H79" s="10">
        <f t="shared" si="6"/>
        <v>6698.1442999999999</v>
      </c>
      <c r="I79" s="10">
        <f t="shared" si="6"/>
        <v>23196.353739999999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17.7674</f>
        <v>17.767399999999999</v>
      </c>
      <c r="G80" s="22">
        <f>19006.77348</f>
        <v>19006.77348</v>
      </c>
      <c r="H80" s="22">
        <f>E80-G80</f>
        <v>6309.2265200000002</v>
      </c>
      <c r="I80" s="22">
        <f>22418.11649</f>
        <v>22418.11649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436.08222</f>
        <v>436.08222000000001</v>
      </c>
      <c r="H81" s="48">
        <f>E81-G81</f>
        <v>388.91777999999999</v>
      </c>
      <c r="I81" s="48">
        <f>778.23725</f>
        <v>778.23725000000002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485.52292</v>
      </c>
      <c r="G82" s="10">
        <f t="shared" si="7"/>
        <v>24764.511500000001</v>
      </c>
      <c r="H82" s="10">
        <f t="shared" si="7"/>
        <v>19364.488499999999</v>
      </c>
      <c r="I82" s="10">
        <f t="shared" si="7"/>
        <v>30900.020240000002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457.47825</v>
      </c>
      <c r="G83" s="129">
        <f t="shared" si="8"/>
        <v>19362.417860000001</v>
      </c>
      <c r="H83" s="129">
        <f t="shared" si="8"/>
        <v>13142.58214</v>
      </c>
      <c r="I83" s="129">
        <f t="shared" si="8"/>
        <v>24181.7618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61.56296</f>
        <v>61.562959999999997</v>
      </c>
      <c r="G84" s="123">
        <f>2928.2719</f>
        <v>2928.2719000000002</v>
      </c>
      <c r="H84" s="123">
        <f t="shared" ref="H84:H91" si="9">E84-G84</f>
        <v>6075.7281000000003</v>
      </c>
      <c r="I84" s="123">
        <f>4092.29835</f>
        <v>4092.29835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48.91713</f>
        <v>48.91713</v>
      </c>
      <c r="G85" s="123">
        <f>5287.31421</f>
        <v>5287.3142099999995</v>
      </c>
      <c r="H85" s="123">
        <f t="shared" si="9"/>
        <v>3787.6857900000005</v>
      </c>
      <c r="I85" s="123">
        <f>8274.03805</f>
        <v>8274.0380499999992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101.03078</f>
        <v>101.03077999999999</v>
      </c>
      <c r="G86" s="123">
        <f>6412.72035</f>
        <v>6412.7203499999996</v>
      </c>
      <c r="H86" s="123">
        <f t="shared" si="9"/>
        <v>2236.2796500000004</v>
      </c>
      <c r="I86" s="123">
        <f>7483.02061</f>
        <v>7483.0206099999996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245.96738</f>
        <v>245.96737999999999</v>
      </c>
      <c r="G87" s="123">
        <f>4734.1114</f>
        <v>4734.1113999999998</v>
      </c>
      <c r="H87" s="123">
        <f t="shared" si="9"/>
        <v>1042.8886000000002</v>
      </c>
      <c r="I87" s="123">
        <f>4332.40479</f>
        <v>4332.4047899999996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0.09306</f>
        <v>9.3060000000000004E-2</v>
      </c>
      <c r="G88" s="129">
        <f>4226.89735</f>
        <v>4226.8973500000002</v>
      </c>
      <c r="H88" s="129">
        <f t="shared" si="9"/>
        <v>3890.1026499999998</v>
      </c>
      <c r="I88" s="129">
        <f>4930.19697</f>
        <v>4930.19697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27.95161</f>
        <v>27.951609999999999</v>
      </c>
      <c r="G89" s="72">
        <f>1175.19629</f>
        <v>1175.1962900000001</v>
      </c>
      <c r="H89" s="72">
        <f t="shared" si="9"/>
        <v>2331.8037100000001</v>
      </c>
      <c r="I89" s="72">
        <f>1788.06147</f>
        <v>1788.0614700000001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</f>
        <v>0</v>
      </c>
      <c r="G90" s="95">
        <f>29.07267</f>
        <v>29.072669999999999</v>
      </c>
      <c r="H90" s="95">
        <f t="shared" si="9"/>
        <v>289.92732999999998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2.74371</f>
        <v>2.7437100000000001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</f>
        <v>0</v>
      </c>
      <c r="G92" s="95">
        <f>11.99994</f>
        <v>11.99994</v>
      </c>
      <c r="H92" s="136">
        <f>E92-G92</f>
        <v>38.000059999999998</v>
      </c>
      <c r="I92" s="95">
        <f>19.58906</f>
        <v>19.58906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11.8549</f>
        <v>11.854900000000001</v>
      </c>
      <c r="H93" s="136">
        <f t="shared" ref="H93" si="10">E93-G93</f>
        <v>-11.854900000000001</v>
      </c>
      <c r="I93" s="136">
        <f>16.07232</f>
        <v>16.072320000000001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506.03403000000003</v>
      </c>
      <c r="G94" s="73">
        <f t="shared" si="12"/>
        <v>44560.294710000002</v>
      </c>
      <c r="H94" s="73">
        <f t="shared" si="12"/>
        <v>26378.705289999998</v>
      </c>
      <c r="I94" s="73">
        <f t="shared" si="12"/>
        <v>54468.137119999999</v>
      </c>
      <c r="J94" s="267"/>
    </row>
    <row r="95" spans="1:10" ht="13.5" customHeight="1" x14ac:dyDescent="0.35">
      <c r="A95" s="1"/>
      <c r="B95" s="277"/>
      <c r="C95" s="74" t="s">
        <v>126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158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117.0369</v>
      </c>
      <c r="G115" s="10">
        <f t="shared" si="13"/>
        <v>31325.642909999999</v>
      </c>
      <c r="H115" s="10">
        <f t="shared" si="13"/>
        <v>39689.357089999998</v>
      </c>
      <c r="I115" s="10">
        <f t="shared" si="13"/>
        <v>39243.104979999996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117.0369</f>
        <v>117.0369</v>
      </c>
      <c r="G116" s="22">
        <f>27877.38497</f>
        <v>27877.384969999999</v>
      </c>
      <c r="H116" s="22">
        <f>E116-G116</f>
        <v>28572.615030000001</v>
      </c>
      <c r="I116" s="22">
        <f>34813.66468</f>
        <v>34813.664680000002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3382.90034</f>
        <v>3382.9003400000001</v>
      </c>
      <c r="H117" s="22">
        <f>E117-G117</f>
        <v>10682.09966</v>
      </c>
      <c r="I117" s="22">
        <f>4363.99015</f>
        <v>4363.9901499999996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f>51430</f>
        <v>51430</v>
      </c>
      <c r="F119" s="92">
        <f>2500.7099</f>
        <v>2500.7098999999998</v>
      </c>
      <c r="G119" s="92">
        <f>19877.24125+1106</f>
        <v>20983.241249999999</v>
      </c>
      <c r="H119" s="92">
        <f>E119-G119</f>
        <v>30446.758750000001</v>
      </c>
      <c r="I119" s="92">
        <f>8615.56608</f>
        <v>8615.5660800000005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526.45301000000006</v>
      </c>
      <c r="G120" s="91">
        <f t="shared" ref="G120" si="14">G121+G126+G129</f>
        <v>35656.451950000002</v>
      </c>
      <c r="H120" s="91">
        <f>H121+H126+H129</f>
        <v>39388.548049999998</v>
      </c>
      <c r="I120" s="91">
        <f>I121+I126+I129</f>
        <v>49080.820409999993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56359</v>
      </c>
      <c r="F121" s="121">
        <f>F122+F123+F124+F125</f>
        <v>412.46467000000007</v>
      </c>
      <c r="G121" s="121">
        <f>G122+G123+G125+G124</f>
        <v>26399.350289999998</v>
      </c>
      <c r="H121" s="121">
        <f>H122+H123+H124+H125</f>
        <v>29959.649710000002</v>
      </c>
      <c r="I121" s="121">
        <f>I122+I123+I124+I125</f>
        <v>36798.310329999993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71.46138</f>
        <v>71.461380000000005</v>
      </c>
      <c r="G122" s="123">
        <f>6113.79196</f>
        <v>6113.7919599999996</v>
      </c>
      <c r="H122" s="123">
        <f>E122-G122</f>
        <v>9902.2080400000013</v>
      </c>
      <c r="I122" s="123">
        <f>6720.86258</f>
        <v>6720.86258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14854</v>
      </c>
      <c r="F123" s="123">
        <f>142.91014</f>
        <v>142.91014000000001</v>
      </c>
      <c r="G123" s="123">
        <f>7937.50816</f>
        <v>7937.5081600000003</v>
      </c>
      <c r="H123" s="123">
        <f>E123-G123</f>
        <v>6916.4918399999997</v>
      </c>
      <c r="I123" s="123">
        <f>10477.71594</f>
        <v>10477.71594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12872</v>
      </c>
      <c r="F124" s="123">
        <f>72.10912</f>
        <v>72.109120000000004</v>
      </c>
      <c r="G124" s="123">
        <f>6454.44226</f>
        <v>6454.4422599999998</v>
      </c>
      <c r="H124" s="123">
        <f>E124-G124</f>
        <v>6417.5577400000002</v>
      </c>
      <c r="I124" s="123">
        <f>9917.55163</f>
        <v>9917.5516299999999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125.98403</f>
        <v>125.98403</v>
      </c>
      <c r="G125" s="123">
        <f>6999.60791-1106</f>
        <v>5893.6079099999997</v>
      </c>
      <c r="H125" s="123">
        <f>E125-G125</f>
        <v>6723.3920900000003</v>
      </c>
      <c r="I125" s="123">
        <f>9682.18018</f>
        <v>9682.1801799999994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2.3016999999999999</v>
      </c>
      <c r="G126" s="129">
        <f>SUM(G127:G128)</f>
        <v>5874.8135899999997</v>
      </c>
      <c r="H126" s="129">
        <f>H127+H128</f>
        <v>1867.1864099999998</v>
      </c>
      <c r="I126" s="129">
        <f>SUM(I127:I128)</f>
        <v>8666.2790699999987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7242</v>
      </c>
      <c r="F127" s="123">
        <f>1.71094</f>
        <v>1.7109399999999999</v>
      </c>
      <c r="G127" s="123">
        <f>5730.88446</f>
        <v>5730.8844600000002</v>
      </c>
      <c r="H127" s="123">
        <f t="shared" ref="H127:H135" si="15">E127-G127</f>
        <v>1511.1155399999998</v>
      </c>
      <c r="I127" s="123">
        <f>8289.10544</f>
        <v>8289.1054399999994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0.59076</f>
        <v>0.59075999999999995</v>
      </c>
      <c r="G128" s="123">
        <f>143.92913</f>
        <v>143.92912999999999</v>
      </c>
      <c r="H128" s="123">
        <f t="shared" si="15"/>
        <v>356.07087000000001</v>
      </c>
      <c r="I128" s="123">
        <f>377.17363</f>
        <v>377.17363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111.68664</f>
        <v>111.68664</v>
      </c>
      <c r="G129" s="72">
        <f>3382.28807</f>
        <v>3382.2880700000001</v>
      </c>
      <c r="H129" s="72">
        <f t="shared" si="15"/>
        <v>7561.7119299999995</v>
      </c>
      <c r="I129" s="72">
        <f>3616.23101</f>
        <v>3616.23101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255.886</f>
        <v>255.886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32.3138</f>
        <v>32.313800000000001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0</f>
        <v>0</v>
      </c>
      <c r="G134" s="95">
        <f>81.90815</f>
        <v>81.908150000000006</v>
      </c>
      <c r="H134" s="136">
        <f t="shared" si="15"/>
        <v>231.09184999999999</v>
      </c>
      <c r="I134" s="95">
        <f>38.46173</f>
        <v>38.461730000000003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1.397</f>
        <v>1.397</v>
      </c>
      <c r="G135" s="136">
        <f>76.48531</f>
        <v>76.485309999999998</v>
      </c>
      <c r="H135" s="136">
        <f t="shared" si="15"/>
        <v>-76.485309999999998</v>
      </c>
      <c r="I135" s="136">
        <f>111.51909</f>
        <v>111.51909000000001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3177.9106099999999</v>
      </c>
      <c r="G137" s="73">
        <f>G115+G119+G120+G130+G131+G132+G133+G134+G135</f>
        <v>90140.180070000017</v>
      </c>
      <c r="H137" s="73">
        <f>H115+H119+H120+H130+H131+H132+H133+H134+H135</f>
        <v>110158.81992999998</v>
      </c>
      <c r="I137" s="73">
        <f>I115+I119+I120+I130+I131+I132+I133+I134+I135</f>
        <v>99361.070839999971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10.98999</f>
        <v>10.989990000000001</v>
      </c>
      <c r="F160" s="297">
        <f>683.02619</f>
        <v>683.02619000000004</v>
      </c>
      <c r="G160" s="42">
        <f>D160-F160-F161</f>
        <v>1937.0997499999999</v>
      </c>
      <c r="H160" s="297">
        <f>638.43613</f>
        <v>638.43613000000005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0</f>
        <v>0</v>
      </c>
      <c r="F161" s="148">
        <f>1141.87406</f>
        <v>1141.8740600000001</v>
      </c>
      <c r="G161" s="219"/>
      <c r="H161" s="148">
        <f>1168.92722</f>
        <v>1168.92722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10.489</f>
        <v>10.489000000000001</v>
      </c>
      <c r="F162" s="166">
        <f>65.63334</f>
        <v>65.633340000000004</v>
      </c>
      <c r="G162" s="166">
        <f>D162-F162</f>
        <v>134.36666</v>
      </c>
      <c r="H162" s="166">
        <f>82.16938</f>
        <v>82.169380000000004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122.66938</v>
      </c>
      <c r="F163" s="175">
        <f>F164+F165+F166</f>
        <v>4520.4451399999998</v>
      </c>
      <c r="G163" s="175">
        <f>D163-F163</f>
        <v>1121.5548600000002</v>
      </c>
      <c r="H163" s="175">
        <f>H164+H165+H166</f>
        <v>3832.7517200000002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94.34282</f>
        <v>94.342820000000003</v>
      </c>
      <c r="F164" s="123">
        <f>2595.24167</f>
        <v>2595.2416699999999</v>
      </c>
      <c r="G164" s="123"/>
      <c r="H164" s="123">
        <f>1844.1228</f>
        <v>1844.1228000000001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15.27056</f>
        <v>15.27056</v>
      </c>
      <c r="F165" s="123">
        <f>1305.39365</f>
        <v>1305.39365</v>
      </c>
      <c r="G165" s="123"/>
      <c r="H165" s="123">
        <f>1202.45258</f>
        <v>1202.4525799999999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13.056</f>
        <v>13.055999999999999</v>
      </c>
      <c r="F166" s="186">
        <f>619.80982</f>
        <v>619.80981999999995</v>
      </c>
      <c r="G166" s="186"/>
      <c r="H166" s="186">
        <f>786.17634</f>
        <v>786.17633999999998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144.14837</v>
      </c>
      <c r="F169" s="188">
        <f>F160+F161+F162+F163+F167+F168</f>
        <v>6416.3318300000001</v>
      </c>
      <c r="G169" s="188">
        <f>D169-F169</f>
        <v>3258.6681699999999</v>
      </c>
      <c r="H169" s="188">
        <f>H160+H161+H162+H163+H167+H168</f>
        <v>5722.2844500000001</v>
      </c>
      <c r="I169" s="159"/>
      <c r="J169" s="155"/>
    </row>
    <row r="170" spans="1:10" ht="42" customHeight="1" x14ac:dyDescent="0.35">
      <c r="A170" s="1"/>
      <c r="B170" s="193"/>
      <c r="C170" s="250" t="s">
        <v>132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140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707.10623</f>
        <v>707.10622999999998</v>
      </c>
      <c r="G189" s="124">
        <f>39177.3947</f>
        <v>39177.394699999997</v>
      </c>
      <c r="H189" s="124">
        <f>D189-G189</f>
        <v>4964.6053000000029</v>
      </c>
      <c r="I189" s="124">
        <f>34242.16699</f>
        <v>34242.166989999998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0.1726</f>
        <v>0.1726</v>
      </c>
      <c r="G190" s="124">
        <f>26.61032</f>
        <v>26.610320000000002</v>
      </c>
      <c r="H190" s="124">
        <f>D190-G190</f>
        <v>73.389679999999998</v>
      </c>
      <c r="I190" s="124">
        <f>25.01858</f>
        <v>25.01858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707.27882999999997</v>
      </c>
      <c r="G192" s="190">
        <f>SUM(G189:G191)</f>
        <v>39204.005019999997</v>
      </c>
      <c r="H192" s="190">
        <f>D192-G192</f>
        <v>5073.9949800000031</v>
      </c>
      <c r="I192" s="190">
        <f>SUM(I189:I191)</f>
        <v>34267.185570000001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12.494479999999999</v>
      </c>
      <c r="F202" s="72">
        <f>F203+F204</f>
        <v>2817.4246699999999</v>
      </c>
      <c r="G202" s="72">
        <f>D202-F202</f>
        <v>1169.5753300000001</v>
      </c>
      <c r="H202" s="72">
        <f>H203+H204</f>
        <v>3032.0612999999998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9.23986</f>
        <v>9.2398600000000002</v>
      </c>
      <c r="F203" s="72">
        <f>2283.3927</f>
        <v>2283.3926999999999</v>
      </c>
      <c r="G203" s="72"/>
      <c r="H203" s="72">
        <f>2548.72351</f>
        <v>2548.7235099999998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3.25462</f>
        <v>3.2546200000000001</v>
      </c>
      <c r="F204" s="124">
        <f>534.03197</f>
        <v>534.03197</v>
      </c>
      <c r="G204" s="168"/>
      <c r="H204" s="124">
        <f>483.33779</f>
        <v>483.33778999999998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22.23206</f>
        <v>22.232060000000001</v>
      </c>
      <c r="F205" s="72">
        <f>4025.45696</f>
        <v>4025.45696</v>
      </c>
      <c r="G205" s="72">
        <f>D205-F205</f>
        <v>587.54304000000002</v>
      </c>
      <c r="H205" s="72">
        <f>4654.40623</f>
        <v>4654.4062299999996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34.72654</v>
      </c>
      <c r="F206" s="190">
        <f>SUM(F202,F205)</f>
        <v>6842.8816299999999</v>
      </c>
      <c r="G206" s="190">
        <f>D206-F206</f>
        <v>1757.1183700000001</v>
      </c>
      <c r="H206" s="190">
        <f>SUM(H202,H205)</f>
        <v>7686.4675299999999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71.032629999999997</v>
      </c>
      <c r="F215" s="72">
        <f>F216+F217</f>
        <v>3511.0498499999999</v>
      </c>
      <c r="G215" s="72">
        <f>D215-F215</f>
        <v>1578.9501500000001</v>
      </c>
      <c r="H215" s="72">
        <f>H216+H217</f>
        <v>3376.1627000000003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68.79826</f>
        <v>68.798259999999999</v>
      </c>
      <c r="F216" s="72">
        <f>3225.04175</f>
        <v>3225.0417499999999</v>
      </c>
      <c r="G216" s="72"/>
      <c r="H216" s="72">
        <f>2960.38079</f>
        <v>2960.3807900000002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2.23437</f>
        <v>2.2343700000000002</v>
      </c>
      <c r="F217" s="124">
        <f>286.0081</f>
        <v>286.00810000000001</v>
      </c>
      <c r="G217" s="168"/>
      <c r="H217" s="124">
        <f>415.78191</f>
        <v>415.78190999999998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20.298</f>
        <v>20.297999999999998</v>
      </c>
      <c r="F218" s="72">
        <f>1613.85287</f>
        <v>1613.8528699999999</v>
      </c>
      <c r="G218" s="72">
        <f>D218-F218</f>
        <v>1367.1471300000001</v>
      </c>
      <c r="H218" s="72">
        <f>1991.85845</f>
        <v>1991.8584499999999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91.330629999999999</v>
      </c>
      <c r="F219" s="190">
        <f>SUM(F215,F218)</f>
        <v>5124.90272</v>
      </c>
      <c r="G219" s="190">
        <f>D219-F219</f>
        <v>2946.09728</v>
      </c>
      <c r="H219" s="190">
        <f>SUM(H215,H218)</f>
        <v>5368.0211500000005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1.6967</f>
        <v>1.6967000000000001</v>
      </c>
      <c r="F237" s="124">
        <f>250.8976</f>
        <v>250.89760000000001</v>
      </c>
      <c r="G237" s="124">
        <f>D237-F237</f>
        <v>549.10239999999999</v>
      </c>
      <c r="H237" s="124">
        <f>346.68055</f>
        <v>346.68054999999998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8.44852</f>
        <v>8.4485200000000003</v>
      </c>
      <c r="F238" s="124">
        <f>477.80979</f>
        <v>477.80979000000002</v>
      </c>
      <c r="G238" s="124">
        <f>D238-F238</f>
        <v>1715.19021</v>
      </c>
      <c r="H238" s="124">
        <f>891.97558</f>
        <v>891.97558000000004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</f>
        <v>0</v>
      </c>
      <c r="F240" s="168">
        <f>1.92872</f>
        <v>1.92872</v>
      </c>
      <c r="G240" s="124">
        <f>D240-F240</f>
        <v>-1.92872</v>
      </c>
      <c r="H240" s="168">
        <f>0.091</f>
        <v>9.0999999999999998E-2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10.14522</v>
      </c>
      <c r="F241" s="190">
        <f>SUM(F237:F240)</f>
        <v>731.45725000000004</v>
      </c>
      <c r="G241" s="190">
        <f>D241-F241</f>
        <v>2271.5427500000001</v>
      </c>
      <c r="H241" s="190">
        <f>H237+H238+H239+H240</f>
        <v>1242.3567499999999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136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90.034599999999998</v>
      </c>
      <c r="G262" s="276">
        <f t="shared" si="17"/>
        <v>5578.9052600000005</v>
      </c>
      <c r="H262" s="276">
        <f>H266+H265+H264+H263</f>
        <v>22157.09474</v>
      </c>
      <c r="I262" s="276">
        <f t="shared" si="17"/>
        <v>7133.4982200000004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0</f>
        <v>0</v>
      </c>
      <c r="G263" s="280">
        <f>1581.64711</f>
        <v>1581.6471100000001</v>
      </c>
      <c r="H263" s="280">
        <f t="shared" ref="H263:H267" si="18">E263-G263</f>
        <v>15088.35289</v>
      </c>
      <c r="I263" s="280">
        <f>4156.76936</f>
        <v>4156.7693600000002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8.8368</f>
        <v>8.8368000000000002</v>
      </c>
      <c r="G265" s="280">
        <f>1062.52905</f>
        <v>1062.5290500000001</v>
      </c>
      <c r="H265" s="280">
        <f t="shared" si="18"/>
        <v>508.4709499999999</v>
      </c>
      <c r="I265" s="280">
        <f>1209.0485</f>
        <v>1209.0485000000001</v>
      </c>
      <c r="J265" s="127"/>
    </row>
    <row r="266" spans="1:10" ht="14.15" customHeight="1" x14ac:dyDescent="0.35">
      <c r="A266" s="223"/>
      <c r="B266" s="69"/>
      <c r="C266" s="284" t="s">
        <v>122</v>
      </c>
      <c r="D266" s="285">
        <v>5043</v>
      </c>
      <c r="E266" s="285">
        <v>5156</v>
      </c>
      <c r="F266" s="280">
        <f>81.1978</f>
        <v>81.197800000000001</v>
      </c>
      <c r="G266" s="280">
        <f>2232.94159</f>
        <v>2232.9415899999999</v>
      </c>
      <c r="H266" s="280">
        <f t="shared" si="18"/>
        <v>2923.0584100000001</v>
      </c>
      <c r="I266" s="280">
        <f>855.23966</f>
        <v>855.23965999999996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0</f>
        <v>0</v>
      </c>
      <c r="G267" s="290">
        <f>4094.97424</f>
        <v>4094.97424</v>
      </c>
      <c r="H267" s="290">
        <f t="shared" si="18"/>
        <v>1405.02576</v>
      </c>
      <c r="I267" s="290">
        <f>2083.68178</f>
        <v>2083.6817799999999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24.406469999999999</v>
      </c>
      <c r="G268" s="291">
        <f>G270+G269</f>
        <v>1348.25171</v>
      </c>
      <c r="H268" s="291">
        <f>E268-G268</f>
        <v>6651.7482899999995</v>
      </c>
      <c r="I268" s="291">
        <f>I270+I269</f>
        <v>1643.8615600000001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0</f>
        <v>0</v>
      </c>
      <c r="G269" s="280">
        <f>451.03336</f>
        <v>451.03336000000002</v>
      </c>
      <c r="H269" s="280"/>
      <c r="I269" s="280">
        <f>531.83827</f>
        <v>531.83826999999997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24.40647</f>
        <v>24.406469999999999</v>
      </c>
      <c r="G270" s="299">
        <f>897.21835</f>
        <v>897.21834999999999</v>
      </c>
      <c r="H270" s="299"/>
      <c r="I270" s="299">
        <f>1112.02329</f>
        <v>1112.0232900000001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12.5946</f>
        <v>12.5946</v>
      </c>
      <c r="G272" s="290">
        <f>56.4768</f>
        <v>56.476799999999997</v>
      </c>
      <c r="H272" s="290">
        <f>E272-G272</f>
        <v>-56.476799999999997</v>
      </c>
      <c r="I272" s="290">
        <f>38.08276</f>
        <v>38.08276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127.03567</v>
      </c>
      <c r="G273" s="308">
        <f t="shared" si="19"/>
        <v>11079.176510000001</v>
      </c>
      <c r="H273" s="308">
        <f>H262+H267+H268+H271+H272</f>
        <v>30169.823489999999</v>
      </c>
      <c r="I273" s="308">
        <f t="shared" si="19"/>
        <v>10899.24072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130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138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4" t="s">
        <v>120</v>
      </c>
      <c r="D288" s="324"/>
      <c r="E288" s="324"/>
      <c r="F288" s="324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9">
        <v>894</v>
      </c>
      <c r="E297" s="25">
        <f>SUM(E298:E299)</f>
        <v>0</v>
      </c>
      <c r="F297" s="25">
        <f>SUM(F298:F299)</f>
        <v>986.35825</v>
      </c>
      <c r="G297" s="82">
        <f>D297-F297</f>
        <v>-92.358249999999998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763.96923</f>
        <v>763.96923000000004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222.38902</f>
        <v>222.38901999999999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893</v>
      </c>
      <c r="E300" s="34">
        <f>SUM(E301:E302)</f>
        <v>1.6335000000000002</v>
      </c>
      <c r="F300" s="34">
        <f>SUM(F301:F302)</f>
        <v>740.93181000000004</v>
      </c>
      <c r="G300" s="82">
        <f>D300-F300</f>
        <v>152.06818999999996</v>
      </c>
      <c r="H300" s="34">
        <f>SUM(H301:H302)</f>
        <v>1334.1960799999999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0.2835</f>
        <v>0.28349999999999997</v>
      </c>
      <c r="F301" s="29">
        <f>510.76904</f>
        <v>510.76904000000002</v>
      </c>
      <c r="G301" s="94"/>
      <c r="H301" s="29">
        <f>978.48614</f>
        <v>978.48613999999998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1.35</f>
        <v>1.35</v>
      </c>
      <c r="F302" s="29">
        <f>230.16277</f>
        <v>230.16276999999999</v>
      </c>
      <c r="G302" s="105"/>
      <c r="H302" s="29">
        <f>355.70994</f>
        <v>355.70994000000002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2681</v>
      </c>
      <c r="E304" s="39">
        <f>E294+E297+E300+E303</f>
        <v>1.6335000000000002</v>
      </c>
      <c r="F304" s="39">
        <f>F294+F297+F300+F303</f>
        <v>2750.4959399999998</v>
      </c>
      <c r="G304" s="40">
        <f>D304-F304</f>
        <v>-69.495939999999791</v>
      </c>
      <c r="H304" s="39">
        <f>H294+H297+H300+H303</f>
        <v>3544.6402899999994</v>
      </c>
      <c r="I304" s="26"/>
      <c r="J304" s="127"/>
    </row>
    <row r="305" spans="1:10" ht="42" customHeight="1" x14ac:dyDescent="0.35">
      <c r="A305" s="223"/>
      <c r="B305" s="230"/>
      <c r="C305" s="326" t="s">
        <v>115</v>
      </c>
      <c r="D305" s="326"/>
      <c r="E305" s="326"/>
      <c r="F305" s="326"/>
      <c r="G305" s="326"/>
      <c r="H305" s="326"/>
      <c r="I305" s="326"/>
      <c r="J305" s="327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145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146</v>
      </c>
      <c r="E311" s="212" t="s">
        <v>147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148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4" t="s">
        <v>157</v>
      </c>
      <c r="D316" s="324"/>
      <c r="E316" s="324"/>
      <c r="F316" s="324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154</v>
      </c>
      <c r="D322" s="237">
        <v>248</v>
      </c>
      <c r="E322" s="29">
        <f>38.33625</f>
        <v>38.33625</v>
      </c>
      <c r="F322" s="29">
        <f>163.8928</f>
        <v>163.89279999999999</v>
      </c>
      <c r="G322" s="238">
        <f>D322-F322</f>
        <v>84.107200000000006</v>
      </c>
      <c r="H322" s="29">
        <f>9.64375</f>
        <v>9.6437500000000007</v>
      </c>
      <c r="I322" s="242"/>
      <c r="J322" s="127"/>
    </row>
    <row r="323" spans="1:10" ht="17.5" customHeight="1" x14ac:dyDescent="0.35">
      <c r="A323" s="223"/>
      <c r="B323" s="69"/>
      <c r="C323" s="239" t="s">
        <v>155</v>
      </c>
      <c r="D323" s="240">
        <v>22048</v>
      </c>
      <c r="E323" s="29">
        <f>13.9745</f>
        <v>13.974500000000001</v>
      </c>
      <c r="F323" s="29">
        <f>622.4242</f>
        <v>622.42420000000004</v>
      </c>
      <c r="G323" s="241">
        <f>D323-F323</f>
        <v>21425.575799999999</v>
      </c>
      <c r="H323" s="29">
        <f>1009.96731</f>
        <v>1009.96731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52.310749999999999</v>
      </c>
      <c r="F324" s="39">
        <f>F323+F322</f>
        <v>786.31700000000001</v>
      </c>
      <c r="G324" s="39">
        <f>G323+G322</f>
        <v>21509.682999999997</v>
      </c>
      <c r="H324" s="39">
        <f>H323+H322</f>
        <v>1019.61106</v>
      </c>
      <c r="I324" s="26"/>
      <c r="J324" s="127"/>
    </row>
    <row r="325" spans="1:10" ht="22.5" customHeight="1" x14ac:dyDescent="0.35">
      <c r="A325" s="223"/>
      <c r="B325" s="69"/>
      <c r="C325" s="322" t="s">
        <v>156</v>
      </c>
      <c r="D325" s="322"/>
      <c r="E325" s="322"/>
      <c r="F325" s="322"/>
      <c r="G325" s="322"/>
      <c r="H325" s="322"/>
      <c r="I325" s="322"/>
      <c r="J325" s="323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145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146</v>
      </c>
      <c r="E332" s="212" t="s">
        <v>147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148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21" t="s">
        <v>149</v>
      </c>
      <c r="D337" s="321"/>
      <c r="E337" s="321"/>
      <c r="F337" s="321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150</v>
      </c>
      <c r="F342" s="246" t="s">
        <v>151</v>
      </c>
      <c r="G342" s="246" t="s">
        <v>152</v>
      </c>
      <c r="H342" s="224" t="s">
        <v>153</v>
      </c>
      <c r="I342" s="247"/>
      <c r="J342" s="13"/>
    </row>
    <row r="343" spans="1:10" ht="0" hidden="1" customHeight="1" x14ac:dyDescent="0.35">
      <c r="A343" s="223"/>
      <c r="B343" s="69"/>
      <c r="C343" s="225" t="s">
        <v>154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155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22" t="s">
        <v>156</v>
      </c>
      <c r="D346" s="322"/>
      <c r="E346" s="322"/>
      <c r="F346" s="322"/>
      <c r="G346" s="322"/>
      <c r="H346" s="322"/>
      <c r="I346" s="322"/>
      <c r="J346" s="323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26&amp;R30.06.2025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2025-06-30T12:01:04Z</dcterms:modified>
</cp:coreProperties>
</file>