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AF2E47BF-75AD-48E9-A49D-D01F4296EF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G36" i="1"/>
  <c r="D423" i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I390" i="1"/>
  <c r="H390" i="1"/>
  <c r="G390" i="1"/>
  <c r="F390" i="1"/>
  <c r="I389" i="1"/>
  <c r="H389" i="1"/>
  <c r="G389" i="1"/>
  <c r="F389" i="1"/>
  <c r="I388" i="1"/>
  <c r="G388" i="1"/>
  <c r="G386" i="1" s="1"/>
  <c r="F388" i="1"/>
  <c r="I387" i="1"/>
  <c r="I386" i="1" s="1"/>
  <c r="G387" i="1"/>
  <c r="F387" i="1"/>
  <c r="F386" i="1"/>
  <c r="I385" i="1"/>
  <c r="H385" i="1"/>
  <c r="G385" i="1"/>
  <c r="F385" i="1"/>
  <c r="I384" i="1"/>
  <c r="H384" i="1"/>
  <c r="G384" i="1"/>
  <c r="F384" i="1"/>
  <c r="I383" i="1"/>
  <c r="I380" i="1" s="1"/>
  <c r="I391" i="1" s="1"/>
  <c r="H383" i="1"/>
  <c r="G383" i="1"/>
  <c r="F383" i="1"/>
  <c r="I382" i="1"/>
  <c r="H382" i="1"/>
  <c r="G382" i="1"/>
  <c r="F382" i="1"/>
  <c r="I381" i="1"/>
  <c r="H381" i="1"/>
  <c r="G381" i="1"/>
  <c r="F381" i="1"/>
  <c r="H380" i="1"/>
  <c r="G380" i="1"/>
  <c r="F380" i="1"/>
  <c r="F391" i="1" s="1"/>
  <c r="D380" i="1"/>
  <c r="D391" i="1" s="1"/>
  <c r="H372" i="1"/>
  <c r="F372" i="1"/>
  <c r="D354" i="1"/>
  <c r="H353" i="1"/>
  <c r="G353" i="1"/>
  <c r="F353" i="1"/>
  <c r="E353" i="1"/>
  <c r="H352" i="1"/>
  <c r="F352" i="1"/>
  <c r="G352" i="1" s="1"/>
  <c r="E352" i="1"/>
  <c r="H351" i="1"/>
  <c r="H354" i="1" s="1"/>
  <c r="G351" i="1"/>
  <c r="F351" i="1"/>
  <c r="E351" i="1"/>
  <c r="H350" i="1"/>
  <c r="F350" i="1"/>
  <c r="F354" i="1" s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 s="1"/>
  <c r="E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53" i="1" s="1"/>
  <c r="H207" i="1"/>
  <c r="D207" i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E178" i="1" s="1"/>
  <c r="E184" i="1" s="1"/>
  <c r="H180" i="1"/>
  <c r="F180" i="1"/>
  <c r="F178" i="1" s="1"/>
  <c r="G178" i="1" s="1"/>
  <c r="E180" i="1"/>
  <c r="H179" i="1"/>
  <c r="H178" i="1" s="1"/>
  <c r="F179" i="1"/>
  <c r="E179" i="1"/>
  <c r="H177" i="1"/>
  <c r="G177" i="1"/>
  <c r="F177" i="1"/>
  <c r="E177" i="1"/>
  <c r="H176" i="1"/>
  <c r="F176" i="1"/>
  <c r="E176" i="1"/>
  <c r="H175" i="1"/>
  <c r="H184" i="1" s="1"/>
  <c r="F175" i="1"/>
  <c r="F184" i="1" s="1"/>
  <c r="G184" i="1" s="1"/>
  <c r="E175" i="1"/>
  <c r="D167" i="1"/>
  <c r="D169" i="1" s="1"/>
  <c r="E150" i="1"/>
  <c r="I148" i="1"/>
  <c r="G148" i="1"/>
  <c r="H148" i="1" s="1"/>
  <c r="F148" i="1"/>
  <c r="I147" i="1"/>
  <c r="G147" i="1"/>
  <c r="H147" i="1" s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H139" i="1" s="1"/>
  <c r="G141" i="1"/>
  <c r="F141" i="1"/>
  <c r="I140" i="1"/>
  <c r="H140" i="1"/>
  <c r="G140" i="1"/>
  <c r="F140" i="1"/>
  <c r="I139" i="1"/>
  <c r="G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I150" i="1" s="1"/>
  <c r="H135" i="1"/>
  <c r="F135" i="1"/>
  <c r="G134" i="1"/>
  <c r="G133" i="1" s="1"/>
  <c r="F134" i="1"/>
  <c r="F133" i="1" s="1"/>
  <c r="E134" i="1"/>
  <c r="D134" i="1"/>
  <c r="E133" i="1"/>
  <c r="D133" i="1"/>
  <c r="I132" i="1"/>
  <c r="H132" i="1"/>
  <c r="F132" i="1"/>
  <c r="I131" i="1"/>
  <c r="G131" i="1"/>
  <c r="H131" i="1" s="1"/>
  <c r="F131" i="1"/>
  <c r="I130" i="1"/>
  <c r="H130" i="1"/>
  <c r="G130" i="1"/>
  <c r="F130" i="1"/>
  <c r="I129" i="1"/>
  <c r="G129" i="1"/>
  <c r="G128" i="1" s="1"/>
  <c r="F129" i="1"/>
  <c r="F128" i="1" s="1"/>
  <c r="I128" i="1"/>
  <c r="E128" i="1"/>
  <c r="D128" i="1"/>
  <c r="D150" i="1" s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I107" i="1" s="1"/>
  <c r="G97" i="1"/>
  <c r="H97" i="1" s="1"/>
  <c r="F97" i="1"/>
  <c r="F96" i="1"/>
  <c r="E96" i="1"/>
  <c r="D96" i="1"/>
  <c r="F95" i="1"/>
  <c r="E95" i="1"/>
  <c r="E107" i="1" s="1"/>
  <c r="D95" i="1"/>
  <c r="I94" i="1"/>
  <c r="G94" i="1"/>
  <c r="H94" i="1" s="1"/>
  <c r="F94" i="1"/>
  <c r="I93" i="1"/>
  <c r="G93" i="1"/>
  <c r="H93" i="1" s="1"/>
  <c r="F93" i="1"/>
  <c r="F92" i="1" s="1"/>
  <c r="F107" i="1" s="1"/>
  <c r="I92" i="1"/>
  <c r="E92" i="1"/>
  <c r="D92" i="1"/>
  <c r="D107" i="1" s="1"/>
  <c r="C89" i="1"/>
  <c r="H85" i="1"/>
  <c r="F85" i="1"/>
  <c r="D85" i="1"/>
  <c r="H61" i="1"/>
  <c r="I35" i="1" s="1"/>
  <c r="I34" i="1" s="1"/>
  <c r="H60" i="1"/>
  <c r="I55" i="1"/>
  <c r="I32" i="1" s="1"/>
  <c r="G55" i="1"/>
  <c r="G32" i="1" s="1"/>
  <c r="F55" i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F36" i="1"/>
  <c r="G35" i="1"/>
  <c r="G34" i="1" s="1"/>
  <c r="H34" i="1" s="1"/>
  <c r="F35" i="1"/>
  <c r="F34" i="1" s="1"/>
  <c r="E35" i="1"/>
  <c r="H35" i="1" s="1"/>
  <c r="D34" i="1"/>
  <c r="I33" i="1"/>
  <c r="H33" i="1"/>
  <c r="G33" i="1"/>
  <c r="F33" i="1"/>
  <c r="F32" i="1"/>
  <c r="F27" i="1" s="1"/>
  <c r="I31" i="1"/>
  <c r="H31" i="1"/>
  <c r="G31" i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E27" i="1"/>
  <c r="D27" i="1"/>
  <c r="D26" i="1" s="1"/>
  <c r="E26" i="1"/>
  <c r="I25" i="1"/>
  <c r="H25" i="1"/>
  <c r="H23" i="1" s="1"/>
  <c r="G25" i="1"/>
  <c r="F25" i="1"/>
  <c r="I24" i="1"/>
  <c r="I23" i="1" s="1"/>
  <c r="H24" i="1"/>
  <c r="G24" i="1"/>
  <c r="G23" i="1" s="1"/>
  <c r="F24" i="1"/>
  <c r="F23" i="1" s="1"/>
  <c r="E23" i="1"/>
  <c r="E44" i="1" s="1"/>
  <c r="D23" i="1"/>
  <c r="D44" i="1" s="1"/>
  <c r="H16" i="1"/>
  <c r="F16" i="1"/>
  <c r="D16" i="1"/>
  <c r="G150" i="1" l="1"/>
  <c r="I27" i="1"/>
  <c r="I26" i="1" s="1"/>
  <c r="I44" i="1" s="1"/>
  <c r="F26" i="1"/>
  <c r="H391" i="1"/>
  <c r="F299" i="1"/>
  <c r="G299" i="1" s="1"/>
  <c r="G295" i="1"/>
  <c r="G354" i="1"/>
  <c r="G391" i="1"/>
  <c r="H386" i="1"/>
  <c r="H26" i="1"/>
  <c r="H44" i="1" s="1"/>
  <c r="H92" i="1"/>
  <c r="H134" i="1"/>
  <c r="H133" i="1" s="1"/>
  <c r="G27" i="1"/>
  <c r="G26" i="1" s="1"/>
  <c r="G44" i="1" s="1"/>
  <c r="H32" i="1"/>
  <c r="H27" i="1" s="1"/>
  <c r="H96" i="1"/>
  <c r="H95" i="1" s="1"/>
  <c r="F44" i="1"/>
  <c r="F423" i="1"/>
  <c r="G423" i="1" s="1"/>
  <c r="G413" i="1"/>
  <c r="F150" i="1"/>
  <c r="G249" i="1"/>
  <c r="F253" i="1"/>
  <c r="G253" i="1" s="1"/>
  <c r="F207" i="1"/>
  <c r="G207" i="1" s="1"/>
  <c r="G96" i="1"/>
  <c r="G95" i="1" s="1"/>
  <c r="H55" i="1"/>
  <c r="H129" i="1"/>
  <c r="H128" i="1" s="1"/>
  <c r="G350" i="1"/>
  <c r="G92" i="1"/>
  <c r="G175" i="1"/>
  <c r="G107" i="1" l="1"/>
  <c r="H150" i="1"/>
  <c r="H107" i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<sst xmlns="http://schemas.openxmlformats.org/spreadsheetml/2006/main" count="359" uniqueCount="151">
  <si>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</si>
  <si>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</si>
  <si>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</si>
  <si>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</si>
  <si>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</si>
  <si>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</si>
  <si>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</si>
  <si>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</si>
  <si>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</si>
  <si>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</si>
  <si>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</si>
  <si>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</si>
  <si>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</si>
  <si>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</si>
  <si>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</si>
  <si>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</si>
  <si>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</si>
  <si>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</si>
  <si>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</si>
  <si>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</si>
  <si>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</si>
  <si>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</si>
  <si>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</si>
  <si>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</si>
  <si>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</si>
  <si>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</si>
  <si>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</si>
  <si>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</si>
  <si>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</si>
  <si>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</si>
  <si>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</si>
  <si>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</si>
  <si>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</si>
  <si>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</si>
  <si>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</si>
  <si>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</si>
  <si>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</si>
  <si>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</si>
  <si>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</si>
  <si>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</si>
  <si>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</si>
  <si>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</si>
  <si>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</si>
  <si>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</si>
  <si>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</si>
  <si>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</si>
  <si>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</si>
  <si>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</si>
  <si>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</si>
  <si>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</si>
  <si>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</si>
  <si>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</si>
  <si>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</si>
  <si>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</si>
  <si>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</si>
  <si>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</si>
  <si>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</si>
  <si>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</si>
  <si>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</si>
  <si>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</si>
  <si>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</si>
  <si>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</si>
  <si>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</si>
  <si>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</si>
  <si>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</si>
  <si>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</si>
  <si>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</si>
  <si>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</si>
  <si>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</si>
  <si>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</si>
  <si>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</si>
  <si>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</si>
  <si>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</si>
  <si>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</si>
  <si>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</si>
  <si>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</si>
  <si>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</si>
  <si>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</si>
  <si>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</si>
  <si>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</si>
  <si>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</si>
  <si>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</si>
  <si>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</si>
  <si>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</si>
  <si>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</si>
  <si>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</si>
  <si>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</si>
  <si>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</si>
  <si>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</si>
  <si>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</si>
  <si>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</si>
  <si>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</si>
  <si>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</si>
  <si>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</si>
  <si>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</si>
  <si>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</si>
  <si>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</si>
  <si>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</si>
  <si>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</si>
  <si>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</si>
  <si>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</si>
  <si>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</si>
  <si>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</si>
  <si>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</si>
  <si>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</si>
  <si>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</si>
  <si>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</si>
  <si>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</si>
  <si>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</si>
  <si>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</si>
  <si>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</si>
  <si>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</si>
  <si>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</si>
  <si>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</si>
  <si>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</si>
  <si>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</si>
  <si>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</si>
  <si>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</si>
  <si>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</si>
  <si>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</si>
  <si>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</si>
  <si>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</si>
  <si>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</si>
  <si>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</si>
  <si>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</si>
  <si>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</si>
  <si>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</si>
  <si>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</si>
  <si>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</si>
  <si>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</si>
  <si>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</si>
  <si>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</si>
  <si>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</si>
  <si>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</si>
  <si>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</si>
  <si>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</si>
  <si>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</si>
  <si>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</si>
  <si>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</si>
  <si>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</si>
  <si>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</si>
  <si>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</si>
  <si>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</si>
  <si>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61 tonn, men det legges til grunn at hele avsetningen tas</t>
  </si>
  <si>
    <t>4 Registrert rekreasjonsfiske utgjør 501 tonn, men det legges til grunn at hele avsetningen tas</t>
  </si>
  <si>
    <t>3 Registrert rekreasjonsfiske utgjør 876 tonn, men det legges til grunn at hele avsetningen tas</t>
  </si>
  <si>
    <t>FANGST UKE 41</t>
  </si>
  <si>
    <t>FANGST T.O.M UKE 41</t>
  </si>
  <si>
    <t>RESTKVOTER UKE 41</t>
  </si>
  <si>
    <t>FANGST T.O.M UKE 41 2023</t>
  </si>
  <si>
    <r>
      <t>3</t>
    </r>
    <r>
      <rPr>
        <sz val="9"/>
        <color indexed="8"/>
        <rFont val="Calibri"/>
        <family val="2"/>
      </rPr>
      <t xml:space="preserve"> Det er fisket 5 626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</si>
</sst>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22" zoomScale="85" zoomScaleNormal="85" zoomScaleSheetLayoutView="100" zoomScalePageLayoutView="85" workbookViewId="0">
      <selection activeCell="G37" sqref="G37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3" t="s">
        <v>118</v>
      </c>
      <c r="C2" s="294"/>
      <c r="D2" s="294"/>
      <c r="E2" s="294"/>
      <c r="F2" s="294"/>
      <c r="G2" s="294"/>
      <c r="H2" s="294"/>
      <c r="I2" s="294"/>
      <c r="J2" s="29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9" t="s">
        <v>1</v>
      </c>
      <c r="D11" s="300"/>
      <c r="E11" s="299" t="s">
        <v>2</v>
      </c>
      <c r="F11" s="300"/>
      <c r="G11" s="299" t="s">
        <v>3</v>
      </c>
      <c r="H11" s="300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292" t="s">
        <v>135</v>
      </c>
      <c r="D17" s="292"/>
      <c r="E17" s="292"/>
      <c r="F17" s="292"/>
      <c r="G17" s="292"/>
      <c r="H17" s="29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132.9975</v>
      </c>
      <c r="G23" s="28">
        <f t="shared" si="0"/>
        <v>43563.265389999993</v>
      </c>
      <c r="H23" s="11">
        <f t="shared" si="0"/>
        <v>17248.734610000003</v>
      </c>
      <c r="I23" s="11">
        <f t="shared" si="0"/>
        <v>63004.917710000002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132.9975</f>
        <v>132.9975</v>
      </c>
      <c r="G24" s="23">
        <f>43033.4071</f>
        <v>43033.407099999997</v>
      </c>
      <c r="H24" s="23">
        <f>E24-G24</f>
        <v>17008.592900000003</v>
      </c>
      <c r="I24" s="23">
        <f>62567.40286</f>
        <v>62567.402860000002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529.85829</f>
        <v>529.85829000000001</v>
      </c>
      <c r="H25" s="23">
        <f>E25-G25</f>
        <v>240.14170999999999</v>
      </c>
      <c r="I25" s="23">
        <f>437.51485</f>
        <v>437.51485000000002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489.42607999999996</v>
      </c>
      <c r="G26" s="11">
        <f t="shared" si="1"/>
        <v>125954.2107</v>
      </c>
      <c r="H26" s="11">
        <f t="shared" si="1"/>
        <v>18919.7893</v>
      </c>
      <c r="I26" s="11">
        <f t="shared" si="1"/>
        <v>188116.78289999999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408.06039999999996</v>
      </c>
      <c r="G27" s="132">
        <f t="shared" ref="G27:I27" si="2">G28+G29+G30+G31+G32</f>
        <v>102510.20951</v>
      </c>
      <c r="H27" s="132">
        <f t="shared" si="2"/>
        <v>10467.790489999999</v>
      </c>
      <c r="I27" s="132">
        <f t="shared" si="2"/>
        <v>146826.20214000001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60.85691</f>
        <v>60.856909999999999</v>
      </c>
      <c r="G28" s="127">
        <f>26622.7046 - G56</f>
        <v>25841.704600000001</v>
      </c>
      <c r="H28" s="127">
        <f t="shared" ref="H28:H40" si="3">E28-G28</f>
        <v>2788.2953999999991</v>
      </c>
      <c r="I28" s="127">
        <f>37431.14486 - H56</f>
        <v>37431.14486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120.93855</f>
        <v>120.93855000000001</v>
      </c>
      <c r="G29" s="127">
        <f>29054.26368 - G57</f>
        <v>27924.26368</v>
      </c>
      <c r="H29" s="127">
        <f t="shared" si="3"/>
        <v>1740.73632</v>
      </c>
      <c r="I29" s="127">
        <f>40156.54214 - H57</f>
        <v>40156.542139999998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8.24204</f>
        <v>8.2420399999999994</v>
      </c>
      <c r="G30" s="127">
        <f>26834.1976 - G58</f>
        <v>25661.1976</v>
      </c>
      <c r="H30" s="127">
        <f t="shared" si="3"/>
        <v>1582.8024000000005</v>
      </c>
      <c r="I30" s="127">
        <f>37522.08384 - H58</f>
        <v>37522.083839999999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39.0229</f>
        <v>39.0229</v>
      </c>
      <c r="G31" s="127">
        <f>19999.04363 - G59</f>
        <v>18967.04363</v>
      </c>
      <c r="H31" s="127">
        <f t="shared" si="3"/>
        <v>371.95636999999988</v>
      </c>
      <c r="I31" s="127">
        <f>25195.4313 - H59</f>
        <v>25195.4313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179</v>
      </c>
      <c r="G32" s="127">
        <f>G55</f>
        <v>4116</v>
      </c>
      <c r="H32" s="127">
        <f t="shared" si="3"/>
        <v>3984</v>
      </c>
      <c r="I32" s="127">
        <f>I55</f>
        <v>6521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23.18518</f>
        <v>23.185179999999999</v>
      </c>
      <c r="G33" s="132">
        <f>11271.0528</f>
        <v>11271.052799999999</v>
      </c>
      <c r="H33" s="132">
        <f t="shared" si="3"/>
        <v>5587.9472000000005</v>
      </c>
      <c r="I33" s="132">
        <f>16520.33936</f>
        <v>16520.339360000002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58.180500000000002</v>
      </c>
      <c r="G34" s="132">
        <f>G35+G36</f>
        <v>12172.94839</v>
      </c>
      <c r="H34" s="132">
        <f t="shared" si="3"/>
        <v>2864.0516100000004</v>
      </c>
      <c r="I34" s="132">
        <f>I35+I36</f>
        <v>24770.241399999999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32.1805</f>
        <v>32.180500000000002</v>
      </c>
      <c r="G35" s="132">
        <f>15009.94839 - G60 - G61</f>
        <v>11667.94839</v>
      </c>
      <c r="H35" s="127">
        <f t="shared" si="3"/>
        <v>2409.0516100000004</v>
      </c>
      <c r="I35" s="127">
        <f>24767.2414 - H60 - H61</f>
        <v>24149.241399999999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26</v>
      </c>
      <c r="G36" s="71">
        <f>G60</f>
        <v>505</v>
      </c>
      <c r="H36" s="71">
        <f t="shared" si="3"/>
        <v>455</v>
      </c>
      <c r="I36" s="71">
        <f>I60</f>
        <v>621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0.04425</f>
        <v>4.4249999999999998E-2</v>
      </c>
      <c r="G38" s="98">
        <f>484.74673</f>
        <v>484.74673000000001</v>
      </c>
      <c r="H38" s="98">
        <f t="shared" si="3"/>
        <v>370.25326999999999</v>
      </c>
      <c r="I38" s="98">
        <f>507.14962</f>
        <v>507.14962000000003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7</v>
      </c>
      <c r="G39" s="98">
        <f>G61</f>
        <v>2837</v>
      </c>
      <c r="H39" s="98">
        <f t="shared" si="3"/>
        <v>163</v>
      </c>
      <c r="I39" s="98">
        <f>I61</f>
        <v>4403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1.25321</f>
        <v>1.2532099999999999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0.38418</f>
        <v>0.38418000000000002</v>
      </c>
      <c r="G41" s="98">
        <f>341.6813</f>
        <v>341.68130000000002</v>
      </c>
      <c r="H41" s="98">
        <f>E41-G41</f>
        <v>58.318699999999978</v>
      </c>
      <c r="I41" s="98">
        <f>355.93135</f>
        <v>355.93135000000001</v>
      </c>
      <c r="J41" s="244"/>
    </row>
    <row r="42" spans="1:13" ht="17.25" customHeight="1" x14ac:dyDescent="0.3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0.324</f>
        <v>0.32400000000000001</v>
      </c>
      <c r="G43" s="139">
        <f>115.58883</f>
        <v>115.58883</v>
      </c>
      <c r="H43" s="139">
        <f t="shared" ref="H43" si="4">E43-G43</f>
        <v>-115.58883</v>
      </c>
      <c r="I43" s="139">
        <f>133.50477</f>
        <v>133.50477000000001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631.42921999999987</v>
      </c>
      <c r="G44" s="76">
        <f t="shared" si="5"/>
        <v>180644.85814999999</v>
      </c>
      <c r="H44" s="76">
        <f t="shared" si="5"/>
        <v>38396.141850000007</v>
      </c>
      <c r="I44" s="76">
        <f t="shared" si="5"/>
        <v>264268.07795000001</v>
      </c>
      <c r="J44" s="244"/>
    </row>
    <row r="45" spans="1:13" ht="14.15" customHeight="1" x14ac:dyDescent="0.3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5" customHeight="1" x14ac:dyDescent="0.35">
      <c r="A55" s="101"/>
      <c r="B55" s="24"/>
      <c r="C55" s="16" t="s">
        <v>45</v>
      </c>
      <c r="D55" s="304">
        <v>7872</v>
      </c>
      <c r="E55" s="304">
        <v>8100</v>
      </c>
      <c r="F55" s="11">
        <f>F59+F58+F57+F56</f>
        <v>179</v>
      </c>
      <c r="G55" s="11">
        <f>G59+G58+G57+G56</f>
        <v>4116</v>
      </c>
      <c r="H55" s="304">
        <f>E55-G55</f>
        <v>3984</v>
      </c>
      <c r="I55" s="11">
        <f>I59+I58+I57+I56</f>
        <v>6521</v>
      </c>
      <c r="J55" s="120"/>
    </row>
    <row r="56" spans="1:10" ht="14.15" customHeight="1" x14ac:dyDescent="0.35">
      <c r="A56" s="101"/>
      <c r="B56" s="24"/>
      <c r="C56" s="62" t="s">
        <v>24</v>
      </c>
      <c r="D56" s="305"/>
      <c r="E56" s="305"/>
      <c r="F56" s="127">
        <v>54</v>
      </c>
      <c r="G56" s="127">
        <v>781</v>
      </c>
      <c r="H56" s="305"/>
      <c r="I56" s="127">
        <v>879</v>
      </c>
      <c r="J56" s="120"/>
    </row>
    <row r="57" spans="1:10" ht="14.15" customHeight="1" x14ac:dyDescent="0.35">
      <c r="A57" s="101"/>
      <c r="B57" s="24"/>
      <c r="C57" s="62" t="s">
        <v>25</v>
      </c>
      <c r="D57" s="305"/>
      <c r="E57" s="305"/>
      <c r="F57" s="127">
        <v>75</v>
      </c>
      <c r="G57" s="127">
        <v>1130</v>
      </c>
      <c r="H57" s="305"/>
      <c r="I57" s="127">
        <v>1988</v>
      </c>
      <c r="J57" s="244"/>
    </row>
    <row r="58" spans="1:10" ht="14.15" customHeight="1" x14ac:dyDescent="0.35">
      <c r="A58" s="101"/>
      <c r="B58" s="24"/>
      <c r="C58" s="62" t="s">
        <v>26</v>
      </c>
      <c r="D58" s="305"/>
      <c r="E58" s="305"/>
      <c r="F58" s="127">
        <v>8</v>
      </c>
      <c r="G58" s="127">
        <v>1173</v>
      </c>
      <c r="H58" s="305"/>
      <c r="I58" s="127">
        <v>2489</v>
      </c>
      <c r="J58" s="120"/>
    </row>
    <row r="59" spans="1:10" ht="14.15" customHeight="1" x14ac:dyDescent="0.35">
      <c r="A59" s="101"/>
      <c r="B59" s="24"/>
      <c r="C59" s="87" t="s">
        <v>27</v>
      </c>
      <c r="D59" s="306"/>
      <c r="E59" s="306"/>
      <c r="F59" s="192">
        <v>42</v>
      </c>
      <c r="G59" s="192">
        <v>1032</v>
      </c>
      <c r="H59" s="306"/>
      <c r="I59" s="192">
        <v>1165</v>
      </c>
      <c r="J59" s="120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>
        <v>960</v>
      </c>
      <c r="F60" s="95">
        <v>26</v>
      </c>
      <c r="G60" s="95">
        <v>505</v>
      </c>
      <c r="H60" s="95">
        <f>E60-G60</f>
        <v>455</v>
      </c>
      <c r="I60" s="95">
        <v>621</v>
      </c>
      <c r="J60" s="244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3000</v>
      </c>
      <c r="F61" s="139">
        <v>7</v>
      </c>
      <c r="G61" s="139">
        <v>2837</v>
      </c>
      <c r="H61" s="139">
        <f>E61-G61</f>
        <v>163</v>
      </c>
      <c r="I61" s="139">
        <v>4403</v>
      </c>
      <c r="J61" s="120"/>
    </row>
    <row r="62" spans="1:10" ht="14.15" customHeight="1" x14ac:dyDescent="0.3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9" t="s">
        <v>1</v>
      </c>
      <c r="D81" s="300"/>
      <c r="E81" s="299" t="s">
        <v>2</v>
      </c>
      <c r="F81" s="307"/>
      <c r="G81" s="299" t="s">
        <v>3</v>
      </c>
      <c r="H81" s="300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4.0823999999999998</v>
      </c>
      <c r="G92" s="11">
        <f t="shared" si="6"/>
        <v>23623.465219999998</v>
      </c>
      <c r="H92" s="11">
        <f t="shared" si="6"/>
        <v>2337.5347800000018</v>
      </c>
      <c r="I92" s="11">
        <f t="shared" si="6"/>
        <v>40020.741730000002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4.0824</f>
        <v>4.0823999999999998</v>
      </c>
      <c r="G93" s="23">
        <f>22828.05767</f>
        <v>22828.057669999998</v>
      </c>
      <c r="H93" s="23">
        <f>E93-G93</f>
        <v>2307.9423300000017</v>
      </c>
      <c r="I93" s="23">
        <f>39474.27854</f>
        <v>39474.278539999999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795.40755</f>
        <v>795.40755000000001</v>
      </c>
      <c r="H94" s="50">
        <f>E94-G94</f>
        <v>29.592449999999985</v>
      </c>
      <c r="I94" s="50">
        <f>546.46319</f>
        <v>546.46319000000005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256.15787999999998</v>
      </c>
      <c r="G95" s="11">
        <f t="shared" si="7"/>
        <v>40366.321459999992</v>
      </c>
      <c r="H95" s="11">
        <f t="shared" si="7"/>
        <v>8627.6785400000008</v>
      </c>
      <c r="I95" s="11">
        <f t="shared" si="7"/>
        <v>32022.492129999999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207.02638999999999</v>
      </c>
      <c r="G96" s="132">
        <f t="shared" si="8"/>
        <v>32555.717579999997</v>
      </c>
      <c r="H96" s="132">
        <f t="shared" si="8"/>
        <v>4938.2824200000005</v>
      </c>
      <c r="I96" s="132">
        <f t="shared" si="8"/>
        <v>22589.727059999997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122.08578</f>
        <v>122.08578</v>
      </c>
      <c r="G97" s="127">
        <f>5325.57874</f>
        <v>5325.5787399999999</v>
      </c>
      <c r="H97" s="127">
        <f t="shared" ref="H97:H104" si="9">E97-G97</f>
        <v>4689.4212600000001</v>
      </c>
      <c r="I97" s="127">
        <f>3662.86672</f>
        <v>3662.86672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33.45074</f>
        <v>33.450740000000003</v>
      </c>
      <c r="G98" s="127">
        <f>10507.56042</f>
        <v>10507.56042</v>
      </c>
      <c r="H98" s="127">
        <f t="shared" si="9"/>
        <v>106.43958000000021</v>
      </c>
      <c r="I98" s="127">
        <f>7132.86716</f>
        <v>7132.8671599999998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20.23713</f>
        <v>20.237130000000001</v>
      </c>
      <c r="G99" s="127">
        <f>9834.77757</f>
        <v>9834.7775700000002</v>
      </c>
      <c r="H99" s="127">
        <f t="shared" si="9"/>
        <v>277.2224299999998</v>
      </c>
      <c r="I99" s="127">
        <f>6600.48115</f>
        <v>6600.4811499999996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31.25274</f>
        <v>31.252739999999999</v>
      </c>
      <c r="G100" s="127">
        <f>6887.80085</f>
        <v>6887.8008499999996</v>
      </c>
      <c r="H100" s="127">
        <f t="shared" si="9"/>
        <v>-134.80084999999963</v>
      </c>
      <c r="I100" s="127">
        <f>5193.51203</f>
        <v>5193.5120299999999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0.41871</f>
        <v>0.41871000000000003</v>
      </c>
      <c r="G101" s="132">
        <f>5404.19736</f>
        <v>5404.1973600000001</v>
      </c>
      <c r="H101" s="132">
        <f t="shared" si="9"/>
        <v>2191.8026399999999</v>
      </c>
      <c r="I101" s="132">
        <f>7694.27486</f>
        <v>7694.2748600000004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48.71278</f>
        <v>48.712780000000002</v>
      </c>
      <c r="G102" s="75">
        <f>2406.40652</f>
        <v>2406.40652</v>
      </c>
      <c r="H102" s="75">
        <f t="shared" si="9"/>
        <v>1497.59348</v>
      </c>
      <c r="I102" s="75">
        <f>1738.49021</f>
        <v>1738.4902099999999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0.0168</f>
        <v>1.6799999999999999E-2</v>
      </c>
      <c r="G103" s="98">
        <f>36.13224</f>
        <v>36.132240000000003</v>
      </c>
      <c r="H103" s="98">
        <f t="shared" si="9"/>
        <v>282.86775999999998</v>
      </c>
      <c r="I103" s="98">
        <f>11.36609</f>
        <v>11.36609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0.10359</f>
        <v>0.10359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0.26578</f>
        <v>0.26578000000000002</v>
      </c>
      <c r="G105" s="98">
        <f>38.96297</f>
        <v>38.962969999999999</v>
      </c>
      <c r="H105" s="139">
        <f>E105-G105</f>
        <v>11.037030000000001</v>
      </c>
      <c r="I105" s="98">
        <f>9.7106</f>
        <v>9.7105999999999995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2.546</f>
        <v>2.5459999999999998</v>
      </c>
      <c r="G106" s="139">
        <f>32.88538</f>
        <v>32.885379999999998</v>
      </c>
      <c r="H106" s="139">
        <f t="shared" ref="H106" si="10">E106-G106</f>
        <v>-32.885379999999998</v>
      </c>
      <c r="I106" s="139">
        <f>96.61676</f>
        <v>96.616759999999999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263.17244999999997</v>
      </c>
      <c r="G107" s="76">
        <f t="shared" si="12"/>
        <v>64397.767269999989</v>
      </c>
      <c r="H107" s="76">
        <f t="shared" si="12"/>
        <v>11226.232730000002</v>
      </c>
      <c r="I107" s="76">
        <f t="shared" si="12"/>
        <v>72460.927310000014</v>
      </c>
      <c r="J107" s="244"/>
    </row>
    <row r="108" spans="1:10" ht="13.5" customHeight="1" x14ac:dyDescent="0.3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3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348.05590000000001</v>
      </c>
      <c r="G128" s="11">
        <f t="shared" si="13"/>
        <v>49248.532309999995</v>
      </c>
      <c r="H128" s="11">
        <f t="shared" si="13"/>
        <v>23058.467690000001</v>
      </c>
      <c r="I128" s="11">
        <f t="shared" si="13"/>
        <v>56048.40814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57562</v>
      </c>
      <c r="F129" s="23">
        <f>347.6979</f>
        <v>347.6979</v>
      </c>
      <c r="G129" s="23">
        <f>43520.98136</f>
        <v>43520.981359999998</v>
      </c>
      <c r="H129" s="23">
        <f>E129-G129</f>
        <v>14041.018640000002</v>
      </c>
      <c r="I129" s="23">
        <f>49187.43194</f>
        <v>49187.431940000002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5658.5138</f>
        <v>5658.5137999999997</v>
      </c>
      <c r="H130" s="23">
        <f>E130-G130</f>
        <v>8586.4861999999994</v>
      </c>
      <c r="I130" s="23">
        <f>6737.89615</f>
        <v>6737.8961499999996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0.358</f>
        <v>0.35799999999999998</v>
      </c>
      <c r="G131" s="23">
        <f>69.03715</f>
        <v>69.037149999999997</v>
      </c>
      <c r="H131" s="55">
        <f>E131-G131</f>
        <v>430.96285</v>
      </c>
      <c r="I131" s="23">
        <f>123.08005</f>
        <v>123.08005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52496</v>
      </c>
      <c r="F132" s="95">
        <f>65.37</f>
        <v>65.37</v>
      </c>
      <c r="G132" s="95">
        <f>16165.4038+5626.11247</f>
        <v>21791.51627</v>
      </c>
      <c r="H132" s="95">
        <f>E132-G132</f>
        <v>30704.48373</v>
      </c>
      <c r="I132" s="95">
        <f>38877.73918</f>
        <v>38877.739179999997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1244.6954099999998</v>
      </c>
      <c r="G133" s="94">
        <f t="shared" ref="G133" si="14">G134+G139+G142</f>
        <v>59473.362330000004</v>
      </c>
      <c r="H133" s="94">
        <f>H134+H139+H142</f>
        <v>20691.63767</v>
      </c>
      <c r="I133" s="94">
        <f>I134+I139+I142</f>
        <v>68426.293520000007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1103.9455399999999</v>
      </c>
      <c r="G134" s="125">
        <f>G135+G136+G138+G137</f>
        <v>44612.511980000003</v>
      </c>
      <c r="H134" s="125">
        <f>H135+H136+H137+H138</f>
        <v>14466.488020000003</v>
      </c>
      <c r="I134" s="125">
        <f>I135+I136+I137+I138</f>
        <v>54207.892850000004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17774</v>
      </c>
      <c r="F135" s="127">
        <f>242.85108</f>
        <v>242.85108</v>
      </c>
      <c r="G135" s="127">
        <v>10029.86615</v>
      </c>
      <c r="H135" s="127">
        <f>E135-G135</f>
        <v>7744.1338500000002</v>
      </c>
      <c r="I135" s="127">
        <f>8938.9742</f>
        <v>8938.9742000000006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14939</v>
      </c>
      <c r="F136" s="127">
        <f>291.82864</f>
        <v>291.82864000000001</v>
      </c>
      <c r="G136" s="127">
        <v>12789.323694999999</v>
      </c>
      <c r="H136" s="127">
        <f>E136-G136</f>
        <v>2149.6763050000009</v>
      </c>
      <c r="I136" s="127">
        <f>14259.07787</f>
        <v>14259.077869999999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13051</v>
      </c>
      <c r="F137" s="127">
        <f>173.61522</f>
        <v>173.61521999999999</v>
      </c>
      <c r="G137" s="127">
        <v>10940.083214999999</v>
      </c>
      <c r="H137" s="127">
        <f>E137-G137</f>
        <v>2110.9167850000013</v>
      </c>
      <c r="I137" s="127">
        <f>16918.13221</f>
        <v>16918.13221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13315</v>
      </c>
      <c r="F138" s="127">
        <f>395.6506</f>
        <v>395.6506</v>
      </c>
      <c r="G138" s="127">
        <v>10853.23892</v>
      </c>
      <c r="H138" s="127">
        <f>E138-G138</f>
        <v>2461.7610800000002</v>
      </c>
      <c r="I138" s="127">
        <f>14091.70857</f>
        <v>14091.708570000001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3.8485399999999998</v>
      </c>
      <c r="G139" s="132">
        <f>SUM(G140:G141)</f>
        <v>8918.8501800000013</v>
      </c>
      <c r="H139" s="132">
        <f>H140+H141</f>
        <v>11.149819999999238</v>
      </c>
      <c r="I139" s="132">
        <f>SUM(I140:I141)</f>
        <v>7248.8271000000004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8475.06283</f>
        <v>8475.0628300000008</v>
      </c>
      <c r="H140" s="127">
        <f t="shared" ref="H140:H148" si="15">E140-G140</f>
        <v>-45.062830000000758</v>
      </c>
      <c r="I140" s="127">
        <f>6988.92064</f>
        <v>6988.9206400000003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3.84854</f>
        <v>3.8485399999999998</v>
      </c>
      <c r="G141" s="127">
        <f>443.78735</f>
        <v>443.78735</v>
      </c>
      <c r="H141" s="127">
        <f t="shared" si="15"/>
        <v>56.212649999999996</v>
      </c>
      <c r="I141" s="127">
        <f>259.90646</f>
        <v>259.90645999999998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12156</v>
      </c>
      <c r="F142" s="75">
        <f>136.90133</f>
        <v>136.90133</v>
      </c>
      <c r="G142" s="75">
        <f>5942.00017</f>
        <v>5942.0001700000003</v>
      </c>
      <c r="H142" s="75">
        <f t="shared" si="15"/>
        <v>6213.9998299999997</v>
      </c>
      <c r="I142" s="75">
        <f>6969.57357</f>
        <v>6969.5735699999996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0.06345</f>
        <v>6.3450000000000006E-2</v>
      </c>
      <c r="G143" s="139">
        <f>15.95555</f>
        <v>15.955550000000001</v>
      </c>
      <c r="H143" s="139">
        <f t="shared" si="15"/>
        <v>130.04445000000001</v>
      </c>
      <c r="I143" s="139">
        <f>31.69565</f>
        <v>31.695650000000001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2.20941</f>
        <v>2.2094100000000001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1.708</f>
        <v>1.708</v>
      </c>
      <c r="G147" s="98">
        <f>54.48481</f>
        <v>54.484810000000003</v>
      </c>
      <c r="H147" s="139">
        <f t="shared" si="15"/>
        <v>221.51518999999999</v>
      </c>
      <c r="I147" s="98">
        <f>27.67243</f>
        <v>27.672429999999999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0.213</f>
        <v>0.21299999999999999</v>
      </c>
      <c r="G148" s="139">
        <f>120.33894</f>
        <v>120.33893999999999</v>
      </c>
      <c r="H148" s="139">
        <f t="shared" si="15"/>
        <v>-120.33893999999999</v>
      </c>
      <c r="I148" s="139">
        <f>113.87463</f>
        <v>113.87463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1662.3151699999999</v>
      </c>
      <c r="G150" s="76">
        <f>G128+G132+G133+G143+G144+G145+G146+G147+G148</f>
        <v>132960.22620999999</v>
      </c>
      <c r="H150" s="76">
        <f>H128+H132+H133+H143+H144+H145+H146+H147+H148</f>
        <v>74679.773790000007</v>
      </c>
      <c r="I150" s="76">
        <f>I128+I132+I133+I143+I144+I145+I146+I147+I148</f>
        <v>165788.26455000002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11.91506</f>
        <v>11.91506</v>
      </c>
      <c r="F175" s="276">
        <f>1075.76465</f>
        <v>1075.7646500000001</v>
      </c>
      <c r="G175" s="43">
        <f>D175-F175-F176</f>
        <v>1581.7410499999999</v>
      </c>
      <c r="H175" s="276">
        <f>1548.31169</f>
        <v>1548.31169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65.0357</f>
        <v>65.035700000000006</v>
      </c>
      <c r="F176" s="152">
        <f>1565.4943</f>
        <v>1565.4943000000001</v>
      </c>
      <c r="G176" s="217"/>
      <c r="H176" s="152">
        <f>1746.17603</f>
        <v>1746.1760300000001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0.001</f>
        <v>1E-3</v>
      </c>
      <c r="F177" s="172">
        <f>113.21057</f>
        <v>113.21057</v>
      </c>
      <c r="G177" s="172">
        <f>D177-F177</f>
        <v>86.789429999999996</v>
      </c>
      <c r="H177" s="172">
        <f>74.78746</f>
        <v>74.787459999999996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9.6007999999999996</v>
      </c>
      <c r="F178" s="181">
        <f>F179+F180+F181</f>
        <v>5959.8759200000004</v>
      </c>
      <c r="G178" s="181">
        <f>D178-F178</f>
        <v>374.12407999999959</v>
      </c>
      <c r="H178" s="181">
        <f>H179+H180+H181</f>
        <v>8089.6144599999989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1.54486</f>
        <v>1.5448599999999999</v>
      </c>
      <c r="F179" s="127">
        <f>3089.81494</f>
        <v>3089.8149400000002</v>
      </c>
      <c r="G179" s="127"/>
      <c r="H179" s="127">
        <f>4171.14226</f>
        <v>4171.1422599999996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4.9485</f>
        <v>4.9485000000000001</v>
      </c>
      <c r="F180" s="127">
        <f>1816.66259</f>
        <v>1816.6625899999999</v>
      </c>
      <c r="G180" s="127"/>
      <c r="H180" s="127">
        <f>2492.67682</f>
        <v>2492.6768200000001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3.10744</f>
        <v>3.10744</v>
      </c>
      <c r="F181" s="192">
        <f>1053.39839</f>
        <v>1053.3983900000001</v>
      </c>
      <c r="G181" s="192"/>
      <c r="H181" s="192">
        <f>1425.79538</f>
        <v>1425.79538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86.55256</v>
      </c>
      <c r="F184" s="194">
        <f>F175+F176+F177+F178+F182+F183</f>
        <v>8714.345440000001</v>
      </c>
      <c r="G184" s="194">
        <f>D184-F184</f>
        <v>2108.654559999999</v>
      </c>
      <c r="H184" s="194">
        <f>H175+H176+H177+H178+H182+H183</f>
        <v>11458.889639999999</v>
      </c>
      <c r="I184" s="163"/>
      <c r="J184" s="160"/>
    </row>
    <row r="185" spans="1:10" ht="42" customHeight="1" x14ac:dyDescent="0.3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498.13511</f>
        <v>498.13511</v>
      </c>
      <c r="F204" s="124">
        <f>41328.65878</f>
        <v>41328.658779999998</v>
      </c>
      <c r="G204" s="124">
        <f>D204-F204</f>
        <v>4953.3412200000021</v>
      </c>
      <c r="H204" s="124">
        <f>40663.08535</f>
        <v>40663.085350000001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0.69276</f>
        <v>0.69276000000000004</v>
      </c>
      <c r="F205" s="124">
        <f>40.45908</f>
        <v>40.45908</v>
      </c>
      <c r="G205" s="124">
        <f>D205-F205</f>
        <v>59.54092</v>
      </c>
      <c r="H205" s="124">
        <f>65.66773</f>
        <v>65.667730000000006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498.82787000000002</v>
      </c>
      <c r="F207" s="190">
        <f>SUM(F204:F206)</f>
        <v>41369.117859999998</v>
      </c>
      <c r="G207" s="190">
        <f>D207-F207</f>
        <v>5048.8821400000015</v>
      </c>
      <c r="H207" s="190">
        <f>SUM(H204:H206)</f>
        <v>40728.753080000002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121</v>
      </c>
      <c r="D249" s="124">
        <v>3987</v>
      </c>
      <c r="E249" s="75">
        <f>E250+E251</f>
        <v>8.5386000000000006</v>
      </c>
      <c r="F249" s="75">
        <f>F250+F251</f>
        <v>4205.91687</v>
      </c>
      <c r="G249" s="75">
        <f>D249-F249</f>
        <v>-218.91687000000002</v>
      </c>
      <c r="H249" s="75">
        <f>H250+H251</f>
        <v>4160.8962099999999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3.5117</f>
        <v>3.5116999999999998</v>
      </c>
      <c r="F250" s="75">
        <f>3635.78401</f>
        <v>3635.7840099999999</v>
      </c>
      <c r="G250" s="75"/>
      <c r="H250" s="75">
        <f>3555.25268</f>
        <v>3555.2526800000001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5.0269</f>
        <v>5.0269000000000004</v>
      </c>
      <c r="F251" s="124">
        <f>570.13286</f>
        <v>570.13286000000005</v>
      </c>
      <c r="G251" s="168"/>
      <c r="H251" s="124">
        <f>605.64353</f>
        <v>605.64353000000006</v>
      </c>
      <c r="I251" s="248"/>
      <c r="J251" s="120"/>
    </row>
    <row r="252" spans="1:10" ht="15" customHeight="1" x14ac:dyDescent="0.35">
      <c r="A252" s="1"/>
      <c r="B252" s="254"/>
      <c r="C252" s="90" t="s">
        <v>122</v>
      </c>
      <c r="D252" s="124">
        <v>4613</v>
      </c>
      <c r="E252" s="75">
        <f>46.12307</f>
        <v>46.123069999999998</v>
      </c>
      <c r="F252" s="75">
        <f>5304.46916</f>
        <v>5304.4691599999996</v>
      </c>
      <c r="G252" s="75">
        <f>D252-F252</f>
        <v>-691.46915999999965</v>
      </c>
      <c r="H252" s="75">
        <f>5171.48148</f>
        <v>5171.4814800000004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54.661670000000001</v>
      </c>
      <c r="F253" s="190">
        <f>SUM(F249,F252)</f>
        <v>9510.3860299999997</v>
      </c>
      <c r="G253" s="190">
        <f>D253-F253</f>
        <v>-910.38602999999966</v>
      </c>
      <c r="H253" s="190">
        <f>SUM(H249,H252)</f>
        <v>9332.3776900000012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121</v>
      </c>
      <c r="D295" s="124">
        <v>5090</v>
      </c>
      <c r="E295" s="75">
        <f>E296+E297</f>
        <v>2.8111000000000002</v>
      </c>
      <c r="F295" s="75">
        <f>F296+F297</f>
        <v>5298.7563</v>
      </c>
      <c r="G295" s="75">
        <f>D295-F295</f>
        <v>-208.75630000000001</v>
      </c>
      <c r="H295" s="75">
        <f>H296+H297</f>
        <v>6001.2335699999994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0.91728</f>
        <v>0.91727999999999998</v>
      </c>
      <c r="F296" s="75">
        <f>4830.66049</f>
        <v>4830.6604900000002</v>
      </c>
      <c r="G296" s="75"/>
      <c r="H296" s="75">
        <f>5504.06741</f>
        <v>5504.0674099999997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1.89382</f>
        <v>1.8938200000000001</v>
      </c>
      <c r="F297" s="124">
        <f>468.09581</f>
        <v>468.09580999999997</v>
      </c>
      <c r="G297" s="168"/>
      <c r="H297" s="124">
        <f>497.16616</f>
        <v>497.16615999999999</v>
      </c>
      <c r="I297" s="248"/>
      <c r="J297" s="120"/>
    </row>
    <row r="298" spans="1:10" ht="15" customHeight="1" x14ac:dyDescent="0.35">
      <c r="A298" s="1"/>
      <c r="B298" s="254"/>
      <c r="C298" s="90" t="s">
        <v>122</v>
      </c>
      <c r="D298" s="124">
        <v>2981</v>
      </c>
      <c r="E298" s="75">
        <f>75.51926</f>
        <v>75.519260000000003</v>
      </c>
      <c r="F298" s="75">
        <f>2720.12657</f>
        <v>2720.1265699999999</v>
      </c>
      <c r="G298" s="75">
        <f>D298-F298</f>
        <v>260.8734300000001</v>
      </c>
      <c r="H298" s="75">
        <f>3337.34428</f>
        <v>3337.3442799999998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78.330359999999999</v>
      </c>
      <c r="F299" s="190">
        <f>SUM(F295,F298)</f>
        <v>8018.8828699999995</v>
      </c>
      <c r="G299" s="190">
        <f>D299-F299</f>
        <v>52.117130000000543</v>
      </c>
      <c r="H299" s="190">
        <f>SUM(H295,H298)</f>
        <v>9338.5778499999997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4.03973</f>
        <v>4.0397299999999996</v>
      </c>
      <c r="F350" s="124">
        <f>592.45317</f>
        <v>592.45317</v>
      </c>
      <c r="G350" s="124">
        <f>D350-F350</f>
        <v>207.54683</v>
      </c>
      <c r="H350" s="124">
        <f>540.70088</f>
        <v>540.70087999999998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36.00664</f>
        <v>36.006639999999997</v>
      </c>
      <c r="F351" s="124">
        <f>2230.98887</f>
        <v>2230.9888700000001</v>
      </c>
      <c r="G351" s="124">
        <f>D351-F351</f>
        <v>810.01112999999987</v>
      </c>
      <c r="H351" s="124">
        <f>2629.18941</f>
        <v>2629.18941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</f>
        <v>0</v>
      </c>
      <c r="F353" s="168">
        <f>0.248</f>
        <v>0.248</v>
      </c>
      <c r="G353" s="124">
        <f>D353-F353</f>
        <v>-0.248</v>
      </c>
      <c r="H353" s="168">
        <f>1.70854</f>
        <v>1.7085399999999999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40.046369999999996</v>
      </c>
      <c r="F354" s="190">
        <f>SUM(F350:F353)</f>
        <v>2827.2996600000001</v>
      </c>
      <c r="G354" s="190">
        <f>D354-F354</f>
        <v>1023.7003399999999</v>
      </c>
      <c r="H354" s="190">
        <f>H350+H351+H352+H353</f>
        <v>3174.3375699999997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 t="s">
        <v>113</v>
      </c>
    </row>
    <row r="360" spans="1:10" ht="14.15" customHeight="1" x14ac:dyDescent="0.35">
      <c r="A360" s="1"/>
      <c r="C360" s="150" t="s">
        <v>113</v>
      </c>
    </row>
    <row r="361" spans="1:10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14.15" customHeight="1" x14ac:dyDescent="0.35">
      <c r="A363" s="1"/>
      <c r="C363" s="150" t="s">
        <v>113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9.5084400000000002</v>
      </c>
      <c r="G380" s="253">
        <f t="shared" si="17"/>
        <v>18689.925479999998</v>
      </c>
      <c r="H380" s="253">
        <f>H384+H383+H382+H381</f>
        <v>4279.074520000001</v>
      </c>
      <c r="I380" s="253">
        <f t="shared" si="17"/>
        <v>16197.9411</v>
      </c>
      <c r="J380" s="130"/>
    </row>
    <row r="381" spans="1:10" ht="14.15" customHeight="1" x14ac:dyDescent="0.35">
      <c r="A381" s="218"/>
      <c r="B381" s="72"/>
      <c r="C381" s="255" t="s">
        <v>103</v>
      </c>
      <c r="D381" s="256">
        <v>12051</v>
      </c>
      <c r="E381" s="256">
        <v>13190</v>
      </c>
      <c r="F381" s="257">
        <f>0</f>
        <v>0</v>
      </c>
      <c r="G381" s="257">
        <f>12391.19149</f>
        <v>12391.191489999999</v>
      </c>
      <c r="H381" s="257">
        <f t="shared" ref="H381:H385" si="18">E381-G381</f>
        <v>798.80851000000075</v>
      </c>
      <c r="I381" s="257">
        <f>9908.37411</f>
        <v>9908.3741100000007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1998.07392</f>
        <v>1998.07392</v>
      </c>
      <c r="H382" s="257">
        <f t="shared" si="18"/>
        <v>1434.92608</v>
      </c>
      <c r="I382" s="257">
        <f>1404.39555</f>
        <v>1404.39555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9.05484</f>
        <v>9.0548400000000004</v>
      </c>
      <c r="G383" s="257">
        <f>1858.05741</f>
        <v>1858.0574099999999</v>
      </c>
      <c r="H383" s="257">
        <f t="shared" si="18"/>
        <v>-375.05740999999989</v>
      </c>
      <c r="I383" s="257">
        <f>1841.73874</f>
        <v>1841.73874</v>
      </c>
      <c r="J383" s="130"/>
    </row>
    <row r="384" spans="1:10" ht="14.15" customHeight="1" x14ac:dyDescent="0.35">
      <c r="A384" s="218"/>
      <c r="B384" s="72"/>
      <c r="C384" s="262" t="s">
        <v>141</v>
      </c>
      <c r="D384" s="263">
        <v>4867</v>
      </c>
      <c r="E384" s="263">
        <v>4863</v>
      </c>
      <c r="F384" s="257">
        <f>0.4536</f>
        <v>0.4536</v>
      </c>
      <c r="G384" s="257">
        <f>2442.60266</f>
        <v>2442.60266</v>
      </c>
      <c r="H384" s="257">
        <f t="shared" si="18"/>
        <v>2420.39734</v>
      </c>
      <c r="I384" s="257">
        <f>3043.4327</f>
        <v>3043.4326999999998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0.177</f>
        <v>0.17699999999999999</v>
      </c>
      <c r="G385" s="268">
        <f>2161.34478</f>
        <v>2161.3447799999999</v>
      </c>
      <c r="H385" s="268">
        <f t="shared" si="18"/>
        <v>3338.6552200000001</v>
      </c>
      <c r="I385" s="268">
        <f>5110.81228</f>
        <v>5110.8122800000001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202.91320999999999</v>
      </c>
      <c r="G386" s="269">
        <f>G388+G387</f>
        <v>3668.5222400000002</v>
      </c>
      <c r="H386" s="269">
        <f>E386-G386</f>
        <v>4331.4777599999998</v>
      </c>
      <c r="I386" s="269">
        <f>I388+I387</f>
        <v>4105.4108200000001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1.39185</f>
        <v>1.39185</v>
      </c>
      <c r="G387" s="257">
        <f>1038.47499</f>
        <v>1038.4749899999999</v>
      </c>
      <c r="H387" s="257"/>
      <c r="I387" s="257">
        <f>858.54383</f>
        <v>858.54382999999996</v>
      </c>
      <c r="J387" s="130"/>
    </row>
    <row r="388" spans="1:10" ht="14.15" customHeight="1" x14ac:dyDescent="0.35">
      <c r="A388" s="218"/>
      <c r="B388" s="72"/>
      <c r="C388" s="273" t="s">
        <v>104</v>
      </c>
      <c r="D388" s="274"/>
      <c r="E388" s="277"/>
      <c r="F388" s="278">
        <f>201.52136</f>
        <v>201.52135999999999</v>
      </c>
      <c r="G388" s="278">
        <f>2630.04725</f>
        <v>2630.0472500000001</v>
      </c>
      <c r="H388" s="278"/>
      <c r="I388" s="278">
        <f>3246.86699</f>
        <v>3246.86699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0.1484</f>
        <v>0.1484</v>
      </c>
      <c r="H389" s="268">
        <f>E389-G389</f>
        <v>12.851599999999999</v>
      </c>
      <c r="I389" s="268">
        <f>0.7485</f>
        <v>0.74850000000000005</v>
      </c>
      <c r="J389" s="130"/>
    </row>
    <row r="390" spans="1:10" ht="14.15" customHeight="1" x14ac:dyDescent="0.35">
      <c r="A390" s="218"/>
      <c r="B390" s="72"/>
      <c r="C390" s="279" t="s">
        <v>105</v>
      </c>
      <c r="D390" s="282"/>
      <c r="E390" s="283"/>
      <c r="F390" s="268">
        <f>0.02784</f>
        <v>2.784E-2</v>
      </c>
      <c r="G390" s="268">
        <f>105.16799</f>
        <v>105.16799</v>
      </c>
      <c r="H390" s="268">
        <f>E390-G390</f>
        <v>-105.16799</v>
      </c>
      <c r="I390" s="268">
        <f>116.90082</f>
        <v>116.90082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212.62648999999999</v>
      </c>
      <c r="G391" s="287">
        <f t="shared" si="19"/>
        <v>24625.108889999996</v>
      </c>
      <c r="H391" s="287">
        <f>H380+H385+H386+H389+H390</f>
        <v>11856.89111</v>
      </c>
      <c r="I391" s="287">
        <f t="shared" si="19"/>
        <v>25531.813520000003</v>
      </c>
      <c r="J391" s="130"/>
    </row>
    <row r="392" spans="1:10" ht="14.15" customHeight="1" x14ac:dyDescent="0.3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113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8" t="s">
        <v>138</v>
      </c>
      <c r="D407" s="308"/>
      <c r="E407" s="308"/>
      <c r="F407" s="308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110</v>
      </c>
      <c r="D413" s="204">
        <v>894</v>
      </c>
      <c r="E413" s="26">
        <f>SUM(E414:E415)</f>
        <v>28.378499999999999</v>
      </c>
      <c r="F413" s="26">
        <f>SUM(F414:F415)</f>
        <v>860.17438000000004</v>
      </c>
      <c r="G413" s="85">
        <f>D413-F413</f>
        <v>33.825619999999958</v>
      </c>
      <c r="H413" s="26">
        <f>SUM(H414:H415)</f>
        <v>863.19443000000001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21.5595</f>
        <v>21.5595</v>
      </c>
      <c r="F414" s="205">
        <f>651.11508</f>
        <v>651.11508000000003</v>
      </c>
      <c r="G414" s="206"/>
      <c r="H414" s="205">
        <f>661.30723</f>
        <v>661.30723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6.819</f>
        <v>6.819</v>
      </c>
      <c r="F415" s="208">
        <f>209.0593</f>
        <v>209.05930000000001</v>
      </c>
      <c r="G415" s="209"/>
      <c r="H415" s="208">
        <f>201.8872</f>
        <v>201.88720000000001</v>
      </c>
      <c r="I415" s="150"/>
      <c r="J415" s="130"/>
    </row>
    <row r="416" spans="1:10" ht="14.15" customHeight="1" x14ac:dyDescent="0.35">
      <c r="A416" s="218"/>
      <c r="B416" s="72"/>
      <c r="C416" s="265" t="s">
        <v>111</v>
      </c>
      <c r="D416" s="10">
        <v>894</v>
      </c>
      <c r="E416" s="26">
        <f>SUM(E417:E418)</f>
        <v>0</v>
      </c>
      <c r="F416" s="26">
        <f>SUM(F417:F418)</f>
        <v>0</v>
      </c>
      <c r="G416" s="85">
        <f>D416-F416</f>
        <v>894</v>
      </c>
      <c r="H416" s="26">
        <f>SUM(H417:H418)</f>
        <v>0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5" customHeight="1" x14ac:dyDescent="0.3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28.378499999999999</v>
      </c>
      <c r="F423" s="40">
        <f>F413+F416+F419+F422</f>
        <v>860.17438000000004</v>
      </c>
      <c r="G423" s="41">
        <f>D423-F423</f>
        <v>1820.8256200000001</v>
      </c>
      <c r="H423" s="40">
        <f>H413+H416+H419+H422</f>
        <v>863.19443000000001</v>
      </c>
      <c r="I423" s="27"/>
      <c r="J423" s="130"/>
    </row>
    <row r="424" spans="1:10" ht="42" customHeight="1" x14ac:dyDescent="0.35">
      <c r="A424" s="218"/>
      <c r="B424" s="72"/>
      <c r="C424" s="301" t="s">
        <v>117</v>
      </c>
      <c r="D424" s="301"/>
      <c r="E424" s="301"/>
      <c r="F424" s="301"/>
      <c r="G424" s="301"/>
      <c r="H424" s="301"/>
      <c r="I424" s="301"/>
      <c r="J424" s="302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41&amp;R14.10.2024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2024-10-14T07:34:02Z</dcterms:modified>
</cp:coreProperties>
</file>