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5\"/>
    </mc:Choice>
  </mc:AlternateContent>
  <xr:revisionPtr revIDLastSave="0" documentId="13_ncr:1_{7B01F99C-6F64-4DCE-ABD2-94F512CF91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G124" i="1"/>
  <c r="G123" i="1"/>
  <c r="H345" i="1" l="1"/>
  <c r="G345" i="1"/>
  <c r="F345" i="1"/>
  <c r="E345" i="1"/>
  <c r="D345" i="1"/>
  <c r="G344" i="1"/>
  <c r="G343" i="1"/>
  <c r="E336" i="1"/>
  <c r="D324" i="1"/>
  <c r="H323" i="1"/>
  <c r="F323" i="1"/>
  <c r="F324" i="1" s="1"/>
  <c r="E323" i="1"/>
  <c r="E324" i="1" s="1"/>
  <c r="H322" i="1"/>
  <c r="H324" i="1" s="1"/>
  <c r="G322" i="1"/>
  <c r="F322" i="1"/>
  <c r="E322" i="1"/>
  <c r="E315" i="1"/>
  <c r="D304" i="1"/>
  <c r="H303" i="1"/>
  <c r="F303" i="1"/>
  <c r="G303" i="1" s="1"/>
  <c r="E303" i="1"/>
  <c r="H302" i="1"/>
  <c r="H300" i="1" s="1"/>
  <c r="F302" i="1"/>
  <c r="E302" i="1"/>
  <c r="H301" i="1"/>
  <c r="F301" i="1"/>
  <c r="E301" i="1"/>
  <c r="E300" i="1" s="1"/>
  <c r="G300" i="1"/>
  <c r="F300" i="1"/>
  <c r="H299" i="1"/>
  <c r="F299" i="1"/>
  <c r="E299" i="1"/>
  <c r="H298" i="1"/>
  <c r="H297" i="1" s="1"/>
  <c r="F298" i="1"/>
  <c r="F297" i="1" s="1"/>
  <c r="G297" i="1" s="1"/>
  <c r="E298" i="1"/>
  <c r="E297" i="1" s="1"/>
  <c r="H296" i="1"/>
  <c r="F296" i="1"/>
  <c r="E296" i="1"/>
  <c r="H295" i="1"/>
  <c r="F295" i="1"/>
  <c r="E295" i="1"/>
  <c r="E294" i="1" s="1"/>
  <c r="E304" i="1" s="1"/>
  <c r="H294" i="1"/>
  <c r="H304" i="1" s="1"/>
  <c r="F294" i="1"/>
  <c r="F304" i="1" s="1"/>
  <c r="G304" i="1" s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F268" i="1" s="1"/>
  <c r="I268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H265" i="1" s="1"/>
  <c r="F265" i="1"/>
  <c r="I264" i="1"/>
  <c r="G264" i="1"/>
  <c r="H264" i="1" s="1"/>
  <c r="F264" i="1"/>
  <c r="F262" i="1" s="1"/>
  <c r="I263" i="1"/>
  <c r="H263" i="1"/>
  <c r="G263" i="1"/>
  <c r="F263" i="1"/>
  <c r="E262" i="1"/>
  <c r="E273" i="1" s="1"/>
  <c r="D262" i="1"/>
  <c r="H254" i="1"/>
  <c r="F254" i="1"/>
  <c r="D251" i="1"/>
  <c r="D250" i="1"/>
  <c r="H241" i="1"/>
  <c r="D241" i="1"/>
  <c r="H240" i="1"/>
  <c r="F240" i="1"/>
  <c r="G240" i="1" s="1"/>
  <c r="E240" i="1"/>
  <c r="H239" i="1"/>
  <c r="F239" i="1"/>
  <c r="G239" i="1" s="1"/>
  <c r="E239" i="1"/>
  <c r="H238" i="1"/>
  <c r="G238" i="1"/>
  <c r="F238" i="1"/>
  <c r="F241" i="1" s="1"/>
  <c r="G241" i="1" s="1"/>
  <c r="E238" i="1"/>
  <c r="H237" i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 s="1"/>
  <c r="E219" i="1" s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E202" i="1" s="1"/>
  <c r="E206" i="1" s="1"/>
  <c r="H202" i="1"/>
  <c r="H206" i="1" s="1"/>
  <c r="E192" i="1"/>
  <c r="D192" i="1"/>
  <c r="I191" i="1"/>
  <c r="G191" i="1"/>
  <c r="H191" i="1" s="1"/>
  <c r="F191" i="1"/>
  <c r="I190" i="1"/>
  <c r="H190" i="1"/>
  <c r="G190" i="1"/>
  <c r="F190" i="1"/>
  <c r="I189" i="1"/>
  <c r="I192" i="1" s="1"/>
  <c r="G189" i="1"/>
  <c r="H189" i="1" s="1"/>
  <c r="F189" i="1"/>
  <c r="F192" i="1" s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 s="1"/>
  <c r="H162" i="1"/>
  <c r="F162" i="1"/>
  <c r="G162" i="1" s="1"/>
  <c r="E162" i="1"/>
  <c r="H161" i="1"/>
  <c r="F161" i="1"/>
  <c r="E161" i="1"/>
  <c r="E169" i="1" s="1"/>
  <c r="H160" i="1"/>
  <c r="H169" i="1" s="1"/>
  <c r="G160" i="1"/>
  <c r="F160" i="1"/>
  <c r="F169" i="1" s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G126" i="1" s="1"/>
  <c r="F127" i="1"/>
  <c r="F126" i="1" s="1"/>
  <c r="I126" i="1"/>
  <c r="E126" i="1"/>
  <c r="D126" i="1"/>
  <c r="I125" i="1"/>
  <c r="H125" i="1"/>
  <c r="F125" i="1"/>
  <c r="I124" i="1"/>
  <c r="H124" i="1"/>
  <c r="F124" i="1"/>
  <c r="I123" i="1"/>
  <c r="I121" i="1" s="1"/>
  <c r="I120" i="1" s="1"/>
  <c r="H123" i="1"/>
  <c r="F123" i="1"/>
  <c r="I122" i="1"/>
  <c r="G122" i="1"/>
  <c r="H122" i="1" s="1"/>
  <c r="F122" i="1"/>
  <c r="F121" i="1" s="1"/>
  <c r="E121" i="1"/>
  <c r="E120" i="1" s="1"/>
  <c r="D121" i="1"/>
  <c r="D120" i="1" s="1"/>
  <c r="I119" i="1"/>
  <c r="H119" i="1"/>
  <c r="F119" i="1"/>
  <c r="I118" i="1"/>
  <c r="G118" i="1"/>
  <c r="H118" i="1" s="1"/>
  <c r="F118" i="1"/>
  <c r="I117" i="1"/>
  <c r="I115" i="1" s="1"/>
  <c r="I137" i="1" s="1"/>
  <c r="H117" i="1"/>
  <c r="G117" i="1"/>
  <c r="F117" i="1"/>
  <c r="I116" i="1"/>
  <c r="G116" i="1"/>
  <c r="H116" i="1" s="1"/>
  <c r="F116" i="1"/>
  <c r="F115" i="1" s="1"/>
  <c r="E115" i="1"/>
  <c r="E137" i="1" s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G89" i="1"/>
  <c r="H89" i="1" s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G85" i="1"/>
  <c r="G83" i="1" s="1"/>
  <c r="G82" i="1" s="1"/>
  <c r="F85" i="1"/>
  <c r="F83" i="1" s="1"/>
  <c r="F82" i="1" s="1"/>
  <c r="I84" i="1"/>
  <c r="I83" i="1" s="1"/>
  <c r="I82" i="1" s="1"/>
  <c r="H84" i="1"/>
  <c r="G84" i="1"/>
  <c r="F84" i="1"/>
  <c r="E83" i="1"/>
  <c r="D83" i="1"/>
  <c r="E82" i="1"/>
  <c r="D82" i="1"/>
  <c r="D94" i="1" s="1"/>
  <c r="I81" i="1"/>
  <c r="H81" i="1"/>
  <c r="G81" i="1"/>
  <c r="F81" i="1"/>
  <c r="I80" i="1"/>
  <c r="I79" i="1" s="1"/>
  <c r="H80" i="1"/>
  <c r="H79" i="1" s="1"/>
  <c r="G80" i="1"/>
  <c r="F80" i="1"/>
  <c r="G79" i="1"/>
  <c r="G94" i="1" s="1"/>
  <c r="F79" i="1"/>
  <c r="F94" i="1" s="1"/>
  <c r="E79" i="1"/>
  <c r="E94" i="1" s="1"/>
  <c r="D79" i="1"/>
  <c r="C76" i="1"/>
  <c r="H72" i="1"/>
  <c r="F72" i="1"/>
  <c r="D72" i="1"/>
  <c r="H58" i="1"/>
  <c r="H57" i="1"/>
  <c r="I52" i="1"/>
  <c r="G52" i="1"/>
  <c r="H52" i="1" s="1"/>
  <c r="F52" i="1"/>
  <c r="I41" i="1"/>
  <c r="G41" i="1"/>
  <c r="H41" i="1" s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I33" i="1" s="1"/>
  <c r="G34" i="1"/>
  <c r="H34" i="1" s="1"/>
  <c r="F34" i="1"/>
  <c r="F33" i="1" s="1"/>
  <c r="E33" i="1"/>
  <c r="E25" i="1" s="1"/>
  <c r="D33" i="1"/>
  <c r="D25" i="1" s="1"/>
  <c r="I32" i="1"/>
  <c r="H32" i="1"/>
  <c r="G32" i="1"/>
  <c r="F32" i="1"/>
  <c r="I31" i="1"/>
  <c r="G31" i="1"/>
  <c r="H31" i="1" s="1"/>
  <c r="F31" i="1"/>
  <c r="I30" i="1"/>
  <c r="G30" i="1"/>
  <c r="H30" i="1" s="1"/>
  <c r="F30" i="1"/>
  <c r="F26" i="1" s="1"/>
  <c r="I29" i="1"/>
  <c r="H29" i="1"/>
  <c r="G29" i="1"/>
  <c r="F29" i="1"/>
  <c r="I28" i="1"/>
  <c r="H28" i="1"/>
  <c r="G28" i="1"/>
  <c r="F28" i="1"/>
  <c r="I27" i="1"/>
  <c r="I26" i="1" s="1"/>
  <c r="H27" i="1"/>
  <c r="G27" i="1"/>
  <c r="F27" i="1"/>
  <c r="G26" i="1"/>
  <c r="E26" i="1"/>
  <c r="D26" i="1"/>
  <c r="I24" i="1"/>
  <c r="G24" i="1"/>
  <c r="G22" i="1" s="1"/>
  <c r="F24" i="1"/>
  <c r="F22" i="1" s="1"/>
  <c r="I23" i="1"/>
  <c r="I22" i="1" s="1"/>
  <c r="H23" i="1"/>
  <c r="G23" i="1"/>
  <c r="F23" i="1"/>
  <c r="E22" i="1"/>
  <c r="D22" i="1"/>
  <c r="H16" i="1"/>
  <c r="F16" i="1"/>
  <c r="D16" i="1"/>
  <c r="H121" i="1" l="1"/>
  <c r="I25" i="1"/>
  <c r="I42" i="1"/>
  <c r="F25" i="1"/>
  <c r="F42" i="1" s="1"/>
  <c r="F273" i="1"/>
  <c r="D42" i="1"/>
  <c r="F219" i="1"/>
  <c r="G215" i="1"/>
  <c r="I94" i="1"/>
  <c r="H26" i="1"/>
  <c r="D137" i="1"/>
  <c r="G42" i="1"/>
  <c r="G219" i="1"/>
  <c r="H262" i="1"/>
  <c r="H273" i="1" s="1"/>
  <c r="E42" i="1"/>
  <c r="F137" i="1"/>
  <c r="G169" i="1"/>
  <c r="H115" i="1"/>
  <c r="F120" i="1"/>
  <c r="F206" i="1"/>
  <c r="G206" i="1" s="1"/>
  <c r="G202" i="1"/>
  <c r="H85" i="1"/>
  <c r="H83" i="1" s="1"/>
  <c r="H82" i="1" s="1"/>
  <c r="H94" i="1" s="1"/>
  <c r="G33" i="1"/>
  <c r="G25" i="1" s="1"/>
  <c r="H24" i="1"/>
  <c r="H22" i="1" s="1"/>
  <c r="H33" i="1"/>
  <c r="G115" i="1"/>
  <c r="G121" i="1"/>
  <c r="G120" i="1" s="1"/>
  <c r="H127" i="1"/>
  <c r="H126" i="1" s="1"/>
  <c r="G323" i="1"/>
  <c r="G324" i="1" s="1"/>
  <c r="G294" i="1"/>
  <c r="G192" i="1"/>
  <c r="H192" i="1" s="1"/>
  <c r="G262" i="1"/>
  <c r="G273" i="1" s="1"/>
  <c r="H120" i="1" l="1"/>
  <c r="H25" i="1"/>
  <c r="G137" i="1"/>
  <c r="H42" i="1"/>
  <c r="H137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<sst xmlns="http://schemas.openxmlformats.org/spreadsheetml/2006/main" count="393" uniqueCount="167">
  <si>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</si>
  <si>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</si>
  <si>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</si>
  <si>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</si>
  <si>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</si>
  <si>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</si>
  <si>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</si>
  <si>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</si>
  <si>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</si>
  <si>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</si>
  <si>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</si>
  <si>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</si>
  <si>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</si>
  <si>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</si>
  <si>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</si>
  <si>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</si>
  <si>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</si>
  <si>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</si>
  <si>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</si>
  <si>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</si>
  <si>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</si>
  <si>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</si>
  <si>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</si>
  <si>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</si>
  <si>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</si>
  <si>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</si>
  <si>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</si>
  <si>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</si>
  <si>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</si>
  <si>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</si>
  <si>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</si>
  <si>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</si>
  <si>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</si>
  <si>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</si>
  <si>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</si>
  <si>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</si>
  <si>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</si>
  <si>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</si>
  <si>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</si>
  <si>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</si>
  <si>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</si>
  <si>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</si>
  <si>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</si>
  <si>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</si>
  <si>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</si>
  <si>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</si>
  <si>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</si>
  <si>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</si>
  <si>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</si>
  <si>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</si>
  <si>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</si>
  <si>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</si>
  <si>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</si>
  <si>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</si>
  <si>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</si>
  <si>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</si>
  <si>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</si>
  <si>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</si>
  <si>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</si>
  <si>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</si>
  <si>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</si>
  <si>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</si>
  <si>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</si>
  <si>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</si>
  <si>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</si>
  <si>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</si>
  <si>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</si>
  <si>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</si>
  <si>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</si>
  <si>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</si>
  <si>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</si>
  <si>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</si>
  <si>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</si>
  <si>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</si>
  <si>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</si>
  <si>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</si>
  <si>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</si>
  <si>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</si>
  <si>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</si>
  <si>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</si>
  <si>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</si>
  <si>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</si>
  <si>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</si>
  <si>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</si>
  <si>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</si>
  <si>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</si>
  <si>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</si>
  <si>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</si>
  <si>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</si>
  <si>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</si>
  <si>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</si>
  <si>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</si>
  <si>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</si>
  <si>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</si>
  <si>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</si>
  <si>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</si>
  <si>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</si>
  <si>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</si>
  <si>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</si>
  <si>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</si>
  <si>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</si>
  <si>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</si>
  <si>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</si>
  <si>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</si>
  <si>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</si>
  <si>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</si>
  <si>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</si>
  <si>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</si>
  <si>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</si>
  <si>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</si>
  <si>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</si>
  <si>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</si>
  <si>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</si>
  <si>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</si>
  <si>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</si>
  <si>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</si>
  <si>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</si>
  <si>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</si>
  <si>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</si>
  <si>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</si>
  <si>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</si>
  <si>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</si>
  <si>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</si>
  <si>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</si>
  <si>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</si>
  <si>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</si>
  <si>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</si>
  <si>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</si>
  <si>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</si>
  <si>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</si>
  <si>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</si>
  <si>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</si>
  <si>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</si>
  <si>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</si>
  <si>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</si>
  <si>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</si>
  <si>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</si>
  <si>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</si>
  <si>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</si>
  <si>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</si>
  <si>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</si>
  <si>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</si>
  <si>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</si>
  <si>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</si>
  <si>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</si>
  <si>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</si>
  <si>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</si>
  <si>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</si>
  <si>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</si>
  <si>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</si>
  <si>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</si>
  <si>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</si>
  <si>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</si>
  <si>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</si>
  <si>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</si>
  <si>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</si>
  <si>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</si>
  <si>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</si>
  <si>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45 tonn, men det legges til grunn at hele avsetningen tas</t>
  </si>
  <si>
    <t>4 Registrert rekreasjonsfiske utgjør 325 tonn, men det legges til grunn at hele avsetningen tas</t>
  </si>
  <si>
    <t>3 Registrert rekreasjonsfiske utgjør 681 tonn, men det legges til grunn at hele avsetningen tas</t>
  </si>
  <si>
    <t>FANGST UKE 32</t>
  </si>
  <si>
    <t>FANGST T.O.M UKE 32</t>
  </si>
  <si>
    <t>RESTKVOTER UKE 32</t>
  </si>
  <si>
    <t>FANGST T.O.M UKE 32 2024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</si>
  <si>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kystfiskeordningen baseres på beregninger fra Norges Råfisklag. På grunn av teknisk omlegging, foreligger det foreløpig ikke tall for ferskfiskordningen.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</si>
  <si>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1 805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</si>
</sst>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view="pageLayout" topLeftCell="A24" zoomScale="85" zoomScaleNormal="70" zoomScaleSheetLayoutView="100" zoomScalePageLayoutView="85" workbookViewId="0">
      <selection activeCell="E5" sqref="E5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122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111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82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72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142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161.76150000000001</v>
      </c>
      <c r="G22" s="27">
        <f t="shared" si="0"/>
        <v>21053.54045</v>
      </c>
      <c r="H22" s="10">
        <f t="shared" si="0"/>
        <v>20532.45955</v>
      </c>
      <c r="I22" s="10">
        <f t="shared" si="0"/>
        <v>38184.022510000003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161.7615</f>
        <v>161.76150000000001</v>
      </c>
      <c r="G23" s="22">
        <f>20682.8408</f>
        <v>20682.840800000002</v>
      </c>
      <c r="H23" s="22">
        <f>E23-G23</f>
        <v>20140.159199999998</v>
      </c>
      <c r="I23" s="22">
        <f>37663.74943</f>
        <v>37663.749430000003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370.69965</f>
        <v>370.69965000000002</v>
      </c>
      <c r="H24" s="22">
        <f>E24-G24</f>
        <v>392.30034999999998</v>
      </c>
      <c r="I24" s="22">
        <f>520.27308</f>
        <v>520.27308000000005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354.45823999999999</v>
      </c>
      <c r="G25" s="10">
        <f t="shared" si="1"/>
        <v>102715.16351</v>
      </c>
      <c r="H25" s="10">
        <f t="shared" si="1"/>
        <v>18952.836490000002</v>
      </c>
      <c r="I25" s="10">
        <f t="shared" si="1"/>
        <v>121753.11396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276.16320999999999</v>
      </c>
      <c r="G26" s="129">
        <f>G27+G28+G29+G30+G31</f>
        <v>80468.669320000001</v>
      </c>
      <c r="H26" s="129">
        <f t="shared" ref="H26:I26" si="2">H27+H28+H29+H30+H31</f>
        <v>14424.330680000003</v>
      </c>
      <c r="I26" s="129">
        <f t="shared" si="2"/>
        <v>96418.647360000003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40.77092 - F55</f>
        <v>40.770919999999997</v>
      </c>
      <c r="G27" s="123">
        <f>22794.44066 - G55</f>
        <v>22794.44066</v>
      </c>
      <c r="H27" s="123">
        <f t="shared" ref="H27:H39" si="3">E27-G27</f>
        <v>2358.5593399999998</v>
      </c>
      <c r="I27" s="123">
        <f>26058.694 - I55</f>
        <v>26058.694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115.81413 - F56</f>
        <v>115.81413000000001</v>
      </c>
      <c r="G28" s="123">
        <f>22474.82852 - G56</f>
        <v>22474.828519999999</v>
      </c>
      <c r="H28" s="123">
        <f t="shared" si="3"/>
        <v>1519.1714800000009</v>
      </c>
      <c r="I28" s="123">
        <f>27605.45232 - I56</f>
        <v>27605.45232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91.295 - F57</f>
        <v>91.295000000000002</v>
      </c>
      <c r="G29" s="123">
        <f>21542.32178 - G57</f>
        <v>21542.321779999998</v>
      </c>
      <c r="H29" s="123">
        <f t="shared" si="3"/>
        <v>327.6782200000016</v>
      </c>
      <c r="I29" s="123">
        <f>26207.04816 - I57</f>
        <v>26207.048159999998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40.28316 - F58</f>
        <v>28.283160000000002</v>
      </c>
      <c r="G30" s="123">
        <f>15651.07836 - G58</f>
        <v>13657.07836</v>
      </c>
      <c r="H30" s="123">
        <f t="shared" si="3"/>
        <v>1987.9216400000005</v>
      </c>
      <c r="I30" s="123">
        <f>19290.45288 - I58</f>
        <v>16547.452880000001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33.4215</f>
        <v>33.421500000000002</v>
      </c>
      <c r="G32" s="129">
        <f>9106.50869</f>
        <v>9106.5086900000006</v>
      </c>
      <c r="H32" s="129">
        <f t="shared" si="3"/>
        <v>4572.4913099999994</v>
      </c>
      <c r="I32" s="129">
        <f>10690.83452</f>
        <v>10690.83452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44.873530000000002</v>
      </c>
      <c r="G33" s="129">
        <f>G34+G35</f>
        <v>13139.985500000001</v>
      </c>
      <c r="H33" s="129">
        <f t="shared" si="3"/>
        <v>-43.985500000000684</v>
      </c>
      <c r="I33" s="129">
        <f>I34+I35</f>
        <v>14643.632079999999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44.87353 - F59 - F60</f>
        <v>44.873530000000002</v>
      </c>
      <c r="G34" s="129">
        <f>13139.9855 - G59 - G60</f>
        <v>13139.985500000001</v>
      </c>
      <c r="H34" s="123">
        <f t="shared" si="3"/>
        <v>-1003.9855000000007</v>
      </c>
      <c r="I34" s="123">
        <f>14643.63208 - I59 - I60</f>
        <v>14643.632079999999</v>
      </c>
      <c r="J34" s="63"/>
    </row>
    <row r="35" spans="1:10" ht="14.1" customHeight="1" x14ac:dyDescent="0.2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34</v>
      </c>
      <c r="D37" s="140">
        <v>855</v>
      </c>
      <c r="E37" s="140">
        <v>855</v>
      </c>
      <c r="F37" s="95">
        <f>1.5</f>
        <v>1.5</v>
      </c>
      <c r="G37" s="95">
        <f>558.01145</f>
        <v>558.01144999999997</v>
      </c>
      <c r="H37" s="95">
        <f t="shared" si="3"/>
        <v>296.98855000000003</v>
      </c>
      <c r="I37" s="95">
        <f>469.77895</f>
        <v>469.77895000000001</v>
      </c>
      <c r="J37" s="267"/>
    </row>
    <row r="38" spans="1:10" ht="17.25" customHeight="1" x14ac:dyDescent="0.2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12</v>
      </c>
      <c r="G38" s="95">
        <f>G58</f>
        <v>1994</v>
      </c>
      <c r="H38" s="95">
        <f t="shared" si="3"/>
        <v>1006</v>
      </c>
      <c r="I38" s="95">
        <f>I58</f>
        <v>2743</v>
      </c>
      <c r="J38" s="267"/>
    </row>
    <row r="39" spans="1:10" ht="17.25" customHeight="1" x14ac:dyDescent="0.25">
      <c r="A39" s="1"/>
      <c r="B39" s="277"/>
      <c r="C39" s="70" t="s">
        <v>36</v>
      </c>
      <c r="D39" s="140">
        <v>7000</v>
      </c>
      <c r="E39" s="140">
        <v>7000</v>
      </c>
      <c r="F39" s="95">
        <f>9.06182</f>
        <v>9.0618200000000009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38</v>
      </c>
      <c r="D40" s="140">
        <v>450</v>
      </c>
      <c r="E40" s="140">
        <v>450</v>
      </c>
      <c r="F40" s="95">
        <f>3.18298</f>
        <v>3.1829800000000001</v>
      </c>
      <c r="G40" s="95">
        <f>379.04474</f>
        <v>379.04473999999999</v>
      </c>
      <c r="H40" s="95">
        <f>E40-G40</f>
        <v>70.95526000000001</v>
      </c>
      <c r="I40" s="95">
        <f>331.97591</f>
        <v>331.97591</v>
      </c>
      <c r="J40" s="267"/>
    </row>
    <row r="41" spans="1:10" ht="14.1" customHeight="1" x14ac:dyDescent="0.25">
      <c r="A41" s="1"/>
      <c r="B41" s="277"/>
      <c r="C41" s="70" t="s">
        <v>39</v>
      </c>
      <c r="D41" s="140"/>
      <c r="E41" s="136"/>
      <c r="F41" s="136">
        <f>0</f>
        <v>0</v>
      </c>
      <c r="G41" s="136">
        <f>93.45163</f>
        <v>93.451629999999994</v>
      </c>
      <c r="H41" s="136">
        <f t="shared" ref="H41" si="4">E41-G41</f>
        <v>-93.451629999999994</v>
      </c>
      <c r="I41" s="136">
        <f>85.43626</f>
        <v>85.436260000000004</v>
      </c>
      <c r="J41" s="267"/>
    </row>
    <row r="42" spans="1:10" ht="16.5" customHeight="1" x14ac:dyDescent="0.2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541.96454000000006</v>
      </c>
      <c r="G42" s="73">
        <f t="shared" si="5"/>
        <v>134073.46818000003</v>
      </c>
      <c r="H42" s="73">
        <f t="shared" si="5"/>
        <v>41485.531820000004</v>
      </c>
      <c r="I42" s="73">
        <f t="shared" si="5"/>
        <v>170915.68879000001</v>
      </c>
      <c r="J42" s="267"/>
    </row>
    <row r="43" spans="1:10" ht="14.1" customHeight="1" x14ac:dyDescent="0.25">
      <c r="A43" s="101"/>
      <c r="B43" s="24"/>
      <c r="C43" s="74" t="s">
        <v>123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165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138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41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42</v>
      </c>
      <c r="D49" s="328"/>
      <c r="E49" s="328"/>
      <c r="F49" s="328"/>
      <c r="G49" s="328"/>
      <c r="H49" s="328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43</v>
      </c>
      <c r="E51" s="68" t="s">
        <v>120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" customHeight="1" x14ac:dyDescent="0.25">
      <c r="A52" s="101"/>
      <c r="B52" s="24"/>
      <c r="C52" s="15" t="s">
        <v>44</v>
      </c>
      <c r="D52" s="329">
        <v>7872</v>
      </c>
      <c r="E52" s="329">
        <v>8231</v>
      </c>
      <c r="F52" s="10">
        <f>F56+F55+F54+F53</f>
        <v>0</v>
      </c>
      <c r="G52" s="10">
        <f>G56+G55+G54+G53</f>
        <v>0</v>
      </c>
      <c r="H52" s="329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/>
      <c r="G53" s="123"/>
      <c r="H53" s="330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/>
      <c r="G54" s="123"/>
      <c r="H54" s="330"/>
      <c r="I54" s="123"/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/>
      <c r="G55" s="123"/>
      <c r="H55" s="330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31"/>
      <c r="E56" s="331"/>
      <c r="F56" s="186"/>
      <c r="G56" s="186"/>
      <c r="H56" s="331"/>
      <c r="I56" s="186"/>
      <c r="J56" s="117"/>
    </row>
    <row r="57" spans="1:10" ht="14.1" customHeight="1" x14ac:dyDescent="0.25">
      <c r="A57" s="101"/>
      <c r="B57" s="24"/>
      <c r="C57" s="85" t="s">
        <v>45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" customHeight="1" x14ac:dyDescent="0.25">
      <c r="A58" s="101"/>
      <c r="B58" s="24"/>
      <c r="C58" s="139" t="s">
        <v>46</v>
      </c>
      <c r="D58" s="136">
        <v>3000</v>
      </c>
      <c r="E58" s="136">
        <v>3000</v>
      </c>
      <c r="F58" s="136">
        <v>12</v>
      </c>
      <c r="G58" s="136">
        <v>1994</v>
      </c>
      <c r="H58" s="136">
        <f>E58-G58</f>
        <v>1006</v>
      </c>
      <c r="I58" s="136">
        <v>2743</v>
      </c>
      <c r="J58" s="117"/>
    </row>
    <row r="59" spans="1:10" ht="14.1" customHeight="1" x14ac:dyDescent="0.25">
      <c r="A59" s="101"/>
      <c r="B59" s="24"/>
      <c r="C59" s="74" t="s">
        <v>124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47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141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72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48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143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49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18.8748</v>
      </c>
      <c r="G79" s="10">
        <f t="shared" si="6"/>
        <v>19608.833910000001</v>
      </c>
      <c r="H79" s="10">
        <f t="shared" si="6"/>
        <v>6532.1660899999988</v>
      </c>
      <c r="I79" s="10">
        <f t="shared" si="6"/>
        <v>23331.681080000002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18.8748</f>
        <v>18.8748</v>
      </c>
      <c r="G80" s="22">
        <f>19171.67089</f>
        <v>19171.670890000001</v>
      </c>
      <c r="H80" s="22">
        <f>E80-G80</f>
        <v>6144.3291099999988</v>
      </c>
      <c r="I80" s="22">
        <f>22552.46383</f>
        <v>22552.463830000001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437.16302</f>
        <v>437.16302000000002</v>
      </c>
      <c r="H81" s="48">
        <f>E81-G81</f>
        <v>387.83697999999998</v>
      </c>
      <c r="I81" s="48">
        <f>779.21725</f>
        <v>779.21725000000004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207.73739000000003</v>
      </c>
      <c r="G82" s="10">
        <f t="shared" si="7"/>
        <v>29485.456090000003</v>
      </c>
      <c r="H82" s="10">
        <f t="shared" si="7"/>
        <v>14643.543909999999</v>
      </c>
      <c r="I82" s="10">
        <f t="shared" si="7"/>
        <v>36410.413530000005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179.83863000000002</v>
      </c>
      <c r="G83" s="129">
        <f t="shared" si="8"/>
        <v>23562.059150000001</v>
      </c>
      <c r="H83" s="129">
        <f t="shared" si="8"/>
        <v>8942.940849999999</v>
      </c>
      <c r="I83" s="129">
        <f t="shared" si="8"/>
        <v>29224.946250000001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24.23505</f>
        <v>24.235050000000001</v>
      </c>
      <c r="G84" s="123">
        <f>3087.95476</f>
        <v>3087.9547600000001</v>
      </c>
      <c r="H84" s="123">
        <f t="shared" ref="H84:H91" si="9">E84-G84</f>
        <v>5916.0452399999995</v>
      </c>
      <c r="I84" s="123">
        <f>4434.41633</f>
        <v>4434.41633</v>
      </c>
      <c r="J84" s="267"/>
    </row>
    <row r="85" spans="1:10" ht="14.1" customHeight="1" x14ac:dyDescent="0.25">
      <c r="A85" s="192"/>
      <c r="B85" s="176"/>
      <c r="C85" s="60" t="s">
        <v>50</v>
      </c>
      <c r="D85" s="61">
        <v>8674</v>
      </c>
      <c r="E85" s="61">
        <v>9075</v>
      </c>
      <c r="F85" s="123">
        <f>48.85936</f>
        <v>48.859360000000002</v>
      </c>
      <c r="G85" s="123">
        <f>6170.69484</f>
        <v>6170.6948400000001</v>
      </c>
      <c r="H85" s="123">
        <f t="shared" si="9"/>
        <v>2904.3051599999999</v>
      </c>
      <c r="I85" s="123">
        <f>9604.21148</f>
        <v>9604.2114799999999</v>
      </c>
      <c r="J85" s="267"/>
    </row>
    <row r="86" spans="1:10" ht="14.1" customHeight="1" x14ac:dyDescent="0.25">
      <c r="A86" s="192"/>
      <c r="B86" s="176"/>
      <c r="C86" s="60" t="s">
        <v>51</v>
      </c>
      <c r="D86" s="61">
        <v>8266</v>
      </c>
      <c r="E86" s="61">
        <v>8649</v>
      </c>
      <c r="F86" s="123">
        <f>75.05548</f>
        <v>75.055480000000003</v>
      </c>
      <c r="G86" s="123">
        <f>7423.36901</f>
        <v>7423.3690100000003</v>
      </c>
      <c r="H86" s="123">
        <f t="shared" si="9"/>
        <v>1225.6309899999997</v>
      </c>
      <c r="I86" s="123">
        <f>9139.56601</f>
        <v>9139.5660100000005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31.68874</f>
        <v>31.688739999999999</v>
      </c>
      <c r="G87" s="123">
        <f>6880.04054</f>
        <v>6880.04054</v>
      </c>
      <c r="H87" s="123">
        <f t="shared" si="9"/>
        <v>-1103.04054</v>
      </c>
      <c r="I87" s="123">
        <f>6046.75243</f>
        <v>6046.7524299999995</v>
      </c>
      <c r="J87" s="267"/>
    </row>
    <row r="88" spans="1:10" ht="14.1" customHeight="1" x14ac:dyDescent="0.25">
      <c r="A88" s="192"/>
      <c r="B88" s="176"/>
      <c r="C88" s="54" t="s">
        <v>52</v>
      </c>
      <c r="D88" s="55">
        <v>7333</v>
      </c>
      <c r="E88" s="55">
        <v>8117</v>
      </c>
      <c r="F88" s="129">
        <f>2.3562</f>
        <v>2.3561999999999999</v>
      </c>
      <c r="G88" s="129">
        <f>4617.87597</f>
        <v>4617.8759700000001</v>
      </c>
      <c r="H88" s="129">
        <f t="shared" si="9"/>
        <v>3499.1240299999999</v>
      </c>
      <c r="I88" s="129">
        <f>5202.73296</f>
        <v>5202.7329600000003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25.54256</f>
        <v>25.542560000000002</v>
      </c>
      <c r="G89" s="72">
        <f>1305.52097</f>
        <v>1305.52097</v>
      </c>
      <c r="H89" s="72">
        <f t="shared" si="9"/>
        <v>2201.47903</v>
      </c>
      <c r="I89" s="72">
        <f>1982.73432</f>
        <v>1982.73432</v>
      </c>
      <c r="J89" s="267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0</f>
        <v>0</v>
      </c>
      <c r="G90" s="95">
        <f>33.07107</f>
        <v>33.071069999999999</v>
      </c>
      <c r="H90" s="95">
        <f t="shared" si="9"/>
        <v>285.92892999999998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53</v>
      </c>
      <c r="D91" s="140">
        <v>300</v>
      </c>
      <c r="E91" s="140">
        <v>300</v>
      </c>
      <c r="F91" s="136">
        <f>0.28128</f>
        <v>0.28127999999999997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38</v>
      </c>
      <c r="D92" s="140">
        <v>50</v>
      </c>
      <c r="E92" s="140">
        <v>50</v>
      </c>
      <c r="F92" s="95">
        <f>0.092</f>
        <v>9.1999999999999998E-2</v>
      </c>
      <c r="G92" s="95">
        <f>12.42786</f>
        <v>12.427860000000001</v>
      </c>
      <c r="H92" s="136">
        <f>E92-G92</f>
        <v>37.572139999999997</v>
      </c>
      <c r="I92" s="95">
        <f>21.72066</f>
        <v>21.720659999999999</v>
      </c>
      <c r="J92" s="267"/>
    </row>
    <row r="93" spans="1:10" ht="18" customHeight="1" x14ac:dyDescent="0.25">
      <c r="A93" s="1"/>
      <c r="B93" s="277"/>
      <c r="C93" s="89" t="s">
        <v>54</v>
      </c>
      <c r="D93" s="140"/>
      <c r="E93" s="136"/>
      <c r="F93" s="136">
        <f>0</f>
        <v>0</v>
      </c>
      <c r="G93" s="136">
        <f>11.9004</f>
        <v>11.900399999999999</v>
      </c>
      <c r="H93" s="136">
        <f t="shared" ref="H93" si="10">E93-G93</f>
        <v>-11.900399999999999</v>
      </c>
      <c r="I93" s="136">
        <f>16.07232</f>
        <v>16.072320000000001</v>
      </c>
      <c r="J93" s="267"/>
    </row>
    <row r="94" spans="1:10" ht="16.5" customHeight="1" x14ac:dyDescent="0.2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226.98547000000005</v>
      </c>
      <c r="G94" s="73">
        <f t="shared" si="12"/>
        <v>49451.689330000008</v>
      </c>
      <c r="H94" s="73">
        <f t="shared" si="12"/>
        <v>21487.310669999999</v>
      </c>
      <c r="I94" s="73">
        <f t="shared" si="12"/>
        <v>60115.989350000003</v>
      </c>
      <c r="J94" s="267"/>
    </row>
    <row r="95" spans="1:10" ht="13.5" customHeight="1" x14ac:dyDescent="0.25">
      <c r="A95" s="1"/>
      <c r="B95" s="277"/>
      <c r="C95" s="74" t="s">
        <v>125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157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55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111</v>
      </c>
      <c r="D100" s="251"/>
      <c r="E100" s="251"/>
      <c r="F100" s="251"/>
      <c r="G100" s="251"/>
      <c r="H100" s="251"/>
      <c r="I100" s="101"/>
      <c r="J100" s="101" t="s">
        <v>111</v>
      </c>
    </row>
    <row r="101" spans="1:10" ht="14.25" customHeight="1" x14ac:dyDescent="0.25">
      <c r="A101" s="1"/>
      <c r="B101" s="101"/>
      <c r="C101" s="101" t="s">
        <v>111</v>
      </c>
      <c r="D101" s="101" t="s">
        <v>111</v>
      </c>
      <c r="E101" s="101"/>
      <c r="F101" s="101"/>
      <c r="G101" s="101"/>
      <c r="H101" s="101"/>
      <c r="I101" s="101"/>
      <c r="J101" s="101" t="s">
        <v>111</v>
      </c>
    </row>
    <row r="102" spans="1:10" ht="17.100000000000001" customHeight="1" x14ac:dyDescent="0.25">
      <c r="A102" s="223"/>
      <c r="B102" s="223"/>
      <c r="C102" s="233" t="s">
        <v>56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57</v>
      </c>
      <c r="D108" s="114">
        <v>1650</v>
      </c>
      <c r="E108" s="110" t="s">
        <v>58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59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48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60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" customHeight="1" x14ac:dyDescent="0.25">
      <c r="A115" s="1"/>
      <c r="B115" s="277"/>
      <c r="C115" s="15" t="s">
        <v>61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880.13508999999999</v>
      </c>
      <c r="G115" s="10">
        <f t="shared" si="13"/>
        <v>33620.606390000001</v>
      </c>
      <c r="H115" s="10">
        <f t="shared" si="13"/>
        <v>37394.393609999999</v>
      </c>
      <c r="I115" s="10">
        <f t="shared" si="13"/>
        <v>41596.330869999998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880.13509</f>
        <v>880.13508999999999</v>
      </c>
      <c r="G116" s="22">
        <f>30164.9599</f>
        <v>30164.959900000002</v>
      </c>
      <c r="H116" s="22">
        <f>E116-G116</f>
        <v>26285.040099999998</v>
      </c>
      <c r="I116" s="22">
        <f>37063.21057</f>
        <v>37063.210570000003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3390.28889</f>
        <v>3390.2888899999998</v>
      </c>
      <c r="H117" s="22">
        <f>E117-G117</f>
        <v>10674.71111</v>
      </c>
      <c r="I117" s="22">
        <f>4467.67015</f>
        <v>4467.6701499999999</v>
      </c>
      <c r="J117" s="267"/>
    </row>
    <row r="118" spans="1:10" ht="13.5" customHeight="1" x14ac:dyDescent="0.25">
      <c r="A118" s="1"/>
      <c r="B118" s="277"/>
      <c r="C118" s="47" t="s">
        <v>62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25">
      <c r="A119" s="65"/>
      <c r="B119" s="75"/>
      <c r="C119" s="85" t="s">
        <v>63</v>
      </c>
      <c r="D119" s="87">
        <v>43775</v>
      </c>
      <c r="E119" s="87">
        <v>51430</v>
      </c>
      <c r="F119" s="92">
        <f>158.043</f>
        <v>158.04300000000001</v>
      </c>
      <c r="G119" s="92">
        <f>26182.5911+1804.72</f>
        <v>27987.311100000003</v>
      </c>
      <c r="H119" s="92">
        <f>E119-G119</f>
        <v>23442.688899999997</v>
      </c>
      <c r="I119" s="92">
        <f>12275.984</f>
        <v>12275.984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523.47027000000003</v>
      </c>
      <c r="G120" s="91">
        <f t="shared" ref="G120" si="14">G121+G126+G129</f>
        <v>38336.614879999994</v>
      </c>
      <c r="H120" s="91">
        <f>H121+H126+H129</f>
        <v>36708.385120000006</v>
      </c>
      <c r="I120" s="91">
        <f>I121+I126+I129</f>
        <v>54913.412699999993</v>
      </c>
      <c r="J120" s="117"/>
    </row>
    <row r="121" spans="1:10" ht="14.1" customHeight="1" x14ac:dyDescent="0.25">
      <c r="A121" s="1"/>
      <c r="B121" s="50"/>
      <c r="C121" s="118" t="s">
        <v>64</v>
      </c>
      <c r="D121" s="119">
        <f>D122+D123+D124+D125</f>
        <v>51362</v>
      </c>
      <c r="E121" s="119">
        <f>E122+E123+E124+E125</f>
        <v>56359</v>
      </c>
      <c r="F121" s="121">
        <f>F122+F123+F124+F125</f>
        <v>451.03935999999999</v>
      </c>
      <c r="G121" s="121">
        <f>G122+G123+G125+G124</f>
        <v>28423.528449999998</v>
      </c>
      <c r="H121" s="121">
        <f>H122+H123+H124+H125</f>
        <v>27935.471550000002</v>
      </c>
      <c r="I121" s="121">
        <f>I122+I123+I124+I125</f>
        <v>41481.535279999996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88.12774</f>
        <v>88.127740000000003</v>
      </c>
      <c r="G122" s="123">
        <f>6760.82204</f>
        <v>6760.82204</v>
      </c>
      <c r="H122" s="123">
        <f>E122-G122</f>
        <v>9255.1779600000009</v>
      </c>
      <c r="I122" s="123">
        <f>7695.44621</f>
        <v>7695.4462100000001</v>
      </c>
      <c r="J122" s="125"/>
    </row>
    <row r="123" spans="1:10" ht="14.1" customHeight="1" x14ac:dyDescent="0.25">
      <c r="A123" s="192"/>
      <c r="B123" s="176"/>
      <c r="C123" s="60" t="s">
        <v>50</v>
      </c>
      <c r="D123" s="61">
        <v>14094</v>
      </c>
      <c r="E123" s="61">
        <v>14854</v>
      </c>
      <c r="F123" s="123">
        <f>66.25324</f>
        <v>66.253240000000005</v>
      </c>
      <c r="G123" s="123">
        <f>8405.68248-33.85</f>
        <v>8371.8324799999991</v>
      </c>
      <c r="H123" s="123">
        <f>E123-G123</f>
        <v>6482.1675200000009</v>
      </c>
      <c r="I123" s="123">
        <f>11178.6546</f>
        <v>11178.6546</v>
      </c>
      <c r="J123" s="126"/>
    </row>
    <row r="124" spans="1:10" ht="14.1" customHeight="1" x14ac:dyDescent="0.25">
      <c r="A124" s="192"/>
      <c r="B124" s="176"/>
      <c r="C124" s="60" t="s">
        <v>51</v>
      </c>
      <c r="D124" s="61">
        <v>12169</v>
      </c>
      <c r="E124" s="61">
        <v>12872</v>
      </c>
      <c r="F124" s="123">
        <f>146.25118</f>
        <v>146.25118000000001</v>
      </c>
      <c r="G124" s="123">
        <f>7197.35567-242.26</f>
        <v>6955.0956699999997</v>
      </c>
      <c r="H124" s="123">
        <f>E124-G124</f>
        <v>5916.9043300000003</v>
      </c>
      <c r="I124" s="123">
        <f>11449.74012</f>
        <v>11449.74012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150.4072</f>
        <v>150.40719999999999</v>
      </c>
      <c r="G125" s="123">
        <f>7864.38826-1528.61</f>
        <v>6335.77826</v>
      </c>
      <c r="H125" s="123">
        <f>E125-G125</f>
        <v>6281.22174</v>
      </c>
      <c r="I125" s="123">
        <f>11157.69435</f>
        <v>11157.69435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0.13500000000000001</v>
      </c>
      <c r="G126" s="129">
        <f>SUM(G127:G128)</f>
        <v>5879.9096</v>
      </c>
      <c r="H126" s="129">
        <f>H127+H128</f>
        <v>1862.0904</v>
      </c>
      <c r="I126" s="129">
        <f>SUM(I127:I128)</f>
        <v>8861.3922700000003</v>
      </c>
      <c r="J126" s="130"/>
    </row>
    <row r="127" spans="1:10" ht="14.1" customHeight="1" x14ac:dyDescent="0.25">
      <c r="A127" s="1"/>
      <c r="B127" s="277"/>
      <c r="C127" s="60" t="s">
        <v>65</v>
      </c>
      <c r="D127" s="61">
        <v>6819</v>
      </c>
      <c r="E127" s="61">
        <v>7242</v>
      </c>
      <c r="F127" s="123">
        <f>0</f>
        <v>0</v>
      </c>
      <c r="G127" s="123">
        <f>5730.3431</f>
        <v>5730.3431</v>
      </c>
      <c r="H127" s="123">
        <f t="shared" ref="H127:H135" si="15">E127-G127</f>
        <v>1511.6569</v>
      </c>
      <c r="I127" s="123">
        <f>8456.19854</f>
        <v>8456.1985399999994</v>
      </c>
      <c r="J127" s="117"/>
    </row>
    <row r="128" spans="1:10" ht="15" customHeight="1" x14ac:dyDescent="0.25">
      <c r="A128" s="1"/>
      <c r="B128" s="51"/>
      <c r="C128" s="60" t="s">
        <v>66</v>
      </c>
      <c r="D128" s="61">
        <v>500</v>
      </c>
      <c r="E128" s="61">
        <v>500</v>
      </c>
      <c r="F128" s="123">
        <f>0.135</f>
        <v>0.13500000000000001</v>
      </c>
      <c r="G128" s="123">
        <f>149.5665</f>
        <v>149.56649999999999</v>
      </c>
      <c r="H128" s="123">
        <f t="shared" si="15"/>
        <v>350.43349999999998</v>
      </c>
      <c r="I128" s="123">
        <f>405.19373</f>
        <v>405.19373000000002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72.29591</f>
        <v>72.295910000000006</v>
      </c>
      <c r="G129" s="72">
        <f>4033.17683</f>
        <v>4033.1768299999999</v>
      </c>
      <c r="H129" s="72">
        <f t="shared" si="15"/>
        <v>6910.8231699999997</v>
      </c>
      <c r="I129" s="72">
        <f>4570.48515</f>
        <v>4570.4851500000004</v>
      </c>
      <c r="J129" s="117"/>
    </row>
    <row r="130" spans="1:10" ht="15.75" customHeight="1" x14ac:dyDescent="0.2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67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68</v>
      </c>
      <c r="D132" s="140">
        <v>2000</v>
      </c>
      <c r="E132" s="140">
        <v>2000</v>
      </c>
      <c r="F132" s="136">
        <f>12.22821</f>
        <v>12.228210000000001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69</v>
      </c>
      <c r="D134" s="140">
        <v>313</v>
      </c>
      <c r="E134" s="140">
        <v>313</v>
      </c>
      <c r="F134" s="95">
        <f>0.57</f>
        <v>0.56999999999999995</v>
      </c>
      <c r="G134" s="95">
        <f>86.5496</f>
        <v>86.549599999999998</v>
      </c>
      <c r="H134" s="136">
        <f t="shared" si="15"/>
        <v>226.4504</v>
      </c>
      <c r="I134" s="95">
        <f>44.19563</f>
        <v>44.195630000000001</v>
      </c>
      <c r="J134" s="117"/>
    </row>
    <row r="135" spans="1:10" ht="15" customHeight="1" x14ac:dyDescent="0.25">
      <c r="A135" s="1"/>
      <c r="B135" s="277"/>
      <c r="C135" s="139" t="s">
        <v>39</v>
      </c>
      <c r="D135" s="142"/>
      <c r="E135" s="140"/>
      <c r="F135" s="136">
        <f>0</f>
        <v>0</v>
      </c>
      <c r="G135" s="136">
        <f>77.55233</f>
        <v>77.552329999999998</v>
      </c>
      <c r="H135" s="136">
        <f t="shared" si="15"/>
        <v>-77.552329999999998</v>
      </c>
      <c r="I135" s="136">
        <f>114.14054</f>
        <v>114.14054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1574.4465699999998</v>
      </c>
      <c r="G137" s="73">
        <f>G115+G119+G120+G130+G131+G132+G133+G134+G135</f>
        <v>102126.08580000002</v>
      </c>
      <c r="H137" s="73">
        <f>H115+H119+H120+H130+H131+H132+H133+H134+H135</f>
        <v>98172.914199999985</v>
      </c>
      <c r="I137" s="73">
        <f>I115+I119+I120+I130+I131+I132+I133+I134+I135</f>
        <v>111215.81228999997</v>
      </c>
      <c r="J137" s="155"/>
    </row>
    <row r="138" spans="1:10" ht="14.25" customHeight="1" x14ac:dyDescent="0.25">
      <c r="A138" s="152"/>
      <c r="B138" s="50"/>
      <c r="C138" s="156" t="s">
        <v>70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127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130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136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111</v>
      </c>
      <c r="B147" s="2"/>
      <c r="C147" s="233" t="s">
        <v>71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111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111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72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48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" customHeight="1" x14ac:dyDescent="0.25">
      <c r="A160" s="1"/>
      <c r="B160" s="277"/>
      <c r="C160" s="138" t="s">
        <v>73</v>
      </c>
      <c r="D160" s="91">
        <v>3762</v>
      </c>
      <c r="E160" s="297">
        <f>0</f>
        <v>0</v>
      </c>
      <c r="F160" s="297">
        <f>802.3486</f>
        <v>802.34860000000003</v>
      </c>
      <c r="G160" s="42">
        <f>D160-F160-F161</f>
        <v>1754.0162699999998</v>
      </c>
      <c r="H160" s="297">
        <f>770.34742</f>
        <v>770.34742000000006</v>
      </c>
      <c r="I160" s="1"/>
      <c r="J160" s="117"/>
    </row>
    <row r="161" spans="1:10" ht="14.1" customHeight="1" x14ac:dyDescent="0.25">
      <c r="A161" s="1"/>
      <c r="B161" s="277"/>
      <c r="C161" s="133" t="s">
        <v>52</v>
      </c>
      <c r="D161" s="175"/>
      <c r="E161" s="148">
        <f>2.71881</f>
        <v>2.7188099999999999</v>
      </c>
      <c r="F161" s="148">
        <f>1205.63513</f>
        <v>1205.6351299999999</v>
      </c>
      <c r="G161" s="219"/>
      <c r="H161" s="148">
        <f>1304.70125</f>
        <v>1304.7012500000001</v>
      </c>
      <c r="I161" s="1"/>
      <c r="J161" s="117"/>
    </row>
    <row r="162" spans="1:10" ht="15.6" customHeight="1" x14ac:dyDescent="0.25">
      <c r="A162" s="1"/>
      <c r="B162" s="277"/>
      <c r="C162" s="163" t="s">
        <v>74</v>
      </c>
      <c r="D162" s="95">
        <v>200</v>
      </c>
      <c r="E162" s="166">
        <f>0</f>
        <v>0</v>
      </c>
      <c r="F162" s="166">
        <f>71.30106</f>
        <v>71.301060000000007</v>
      </c>
      <c r="G162" s="166">
        <f>D162-F162</f>
        <v>128.69893999999999</v>
      </c>
      <c r="H162" s="166">
        <f>82.16938</f>
        <v>82.169380000000004</v>
      </c>
      <c r="I162" s="1"/>
      <c r="J162" s="117"/>
    </row>
    <row r="163" spans="1:10" ht="14.1" customHeight="1" x14ac:dyDescent="0.25">
      <c r="A163" s="65"/>
      <c r="B163" s="75"/>
      <c r="C163" s="174" t="s">
        <v>75</v>
      </c>
      <c r="D163" s="175">
        <v>5642</v>
      </c>
      <c r="E163" s="175">
        <f>E164+E165+E166</f>
        <v>132.70150999999998</v>
      </c>
      <c r="F163" s="175">
        <f>F164+F165+F166</f>
        <v>5118.7009100000005</v>
      </c>
      <c r="G163" s="175">
        <f>D163-F163</f>
        <v>523.29908999999952</v>
      </c>
      <c r="H163" s="175">
        <f>H164+H165+H166</f>
        <v>5609.9647700000005</v>
      </c>
      <c r="I163" s="65"/>
      <c r="J163" s="111"/>
    </row>
    <row r="164" spans="1:10" ht="14.1" customHeight="1" x14ac:dyDescent="0.25">
      <c r="A164" s="192"/>
      <c r="B164" s="176"/>
      <c r="C164" s="177" t="s">
        <v>76</v>
      </c>
      <c r="D164" s="123"/>
      <c r="E164" s="123">
        <f>70.59476</f>
        <v>70.594759999999994</v>
      </c>
      <c r="F164" s="123">
        <f>2923.12863</f>
        <v>2923.1286300000002</v>
      </c>
      <c r="G164" s="123"/>
      <c r="H164" s="123">
        <f>2901.93346</f>
        <v>2901.9334600000002</v>
      </c>
      <c r="I164" s="181"/>
      <c r="J164" s="126"/>
    </row>
    <row r="165" spans="1:10" ht="14.1" customHeight="1" x14ac:dyDescent="0.25">
      <c r="A165" s="192"/>
      <c r="B165" s="176"/>
      <c r="C165" s="177" t="s">
        <v>77</v>
      </c>
      <c r="D165" s="123"/>
      <c r="E165" s="123">
        <f>43.35977</f>
        <v>43.359769999999997</v>
      </c>
      <c r="F165" s="123">
        <f>1467.20503</f>
        <v>1467.2050300000001</v>
      </c>
      <c r="G165" s="123"/>
      <c r="H165" s="123">
        <f>1706.36297</f>
        <v>1706.3629699999999</v>
      </c>
      <c r="I165" s="181"/>
      <c r="J165" s="182"/>
    </row>
    <row r="166" spans="1:10" ht="14.1" customHeight="1" x14ac:dyDescent="0.25">
      <c r="A166" s="192"/>
      <c r="B166" s="176"/>
      <c r="C166" s="183" t="s">
        <v>78</v>
      </c>
      <c r="D166" s="186"/>
      <c r="E166" s="186">
        <f>18.74698</f>
        <v>18.746980000000001</v>
      </c>
      <c r="F166" s="186">
        <f>728.36725</f>
        <v>728.36725000000001</v>
      </c>
      <c r="G166" s="186"/>
      <c r="H166" s="186">
        <f>1001.66834</f>
        <v>1001.6683399999999</v>
      </c>
      <c r="I166" s="181"/>
      <c r="J166" s="182"/>
    </row>
    <row r="167" spans="1:10" ht="14.1" customHeight="1" x14ac:dyDescent="0.25">
      <c r="A167" s="1"/>
      <c r="B167" s="277"/>
      <c r="C167" s="70" t="s">
        <v>79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80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135.42031999999998</v>
      </c>
      <c r="F169" s="188">
        <f>F160+F161+F162+F163+F167+F168</f>
        <v>7203.3388000000004</v>
      </c>
      <c r="G169" s="188">
        <f>D169-F169</f>
        <v>2471.6611999999996</v>
      </c>
      <c r="H169" s="188">
        <f>H160+H161+H162+H163+H167+H168</f>
        <v>7767.18282</v>
      </c>
      <c r="I169" s="159"/>
      <c r="J169" s="155"/>
    </row>
    <row r="170" spans="1:10" ht="42" customHeight="1" x14ac:dyDescent="0.25">
      <c r="A170" s="1"/>
      <c r="B170" s="193"/>
      <c r="C170" s="250" t="s">
        <v>131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111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111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81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111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82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83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84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48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132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133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134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139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18.27471</f>
        <v>18.274709999999999</v>
      </c>
      <c r="G189" s="124">
        <f>41862.24362</f>
        <v>41862.243620000001</v>
      </c>
      <c r="H189" s="124">
        <f>D189-G189</f>
        <v>2279.7563799999989</v>
      </c>
      <c r="I189" s="124">
        <f>37598.80878</f>
        <v>37598.808779999999</v>
      </c>
      <c r="J189" s="117"/>
    </row>
    <row r="190" spans="1:10" ht="15" customHeight="1" x14ac:dyDescent="0.25">
      <c r="A190" s="1"/>
      <c r="B190" s="277"/>
      <c r="C190" s="90" t="s">
        <v>66</v>
      </c>
      <c r="D190" s="124">
        <v>100</v>
      </c>
      <c r="E190" s="124">
        <v>100</v>
      </c>
      <c r="F190" s="124">
        <f>0.454</f>
        <v>0.45400000000000001</v>
      </c>
      <c r="G190" s="124">
        <f>31.90314</f>
        <v>31.90314</v>
      </c>
      <c r="H190" s="124">
        <f>D190-G190</f>
        <v>68.096859999999992</v>
      </c>
      <c r="I190" s="124">
        <f>27.51828</f>
        <v>27.518280000000001</v>
      </c>
      <c r="J190" s="117"/>
    </row>
    <row r="191" spans="1:10" ht="15.75" customHeight="1" x14ac:dyDescent="0.25">
      <c r="A191" s="1"/>
      <c r="B191" s="277"/>
      <c r="C191" s="146" t="s">
        <v>79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85</v>
      </c>
      <c r="D192" s="190">
        <f>SUM(D189:D191)</f>
        <v>44278</v>
      </c>
      <c r="E192" s="190">
        <f>SUM(E189:E191)</f>
        <v>43471</v>
      </c>
      <c r="F192" s="190">
        <f>SUM(F189:F191)</f>
        <v>18.72871</v>
      </c>
      <c r="G192" s="190">
        <f>SUM(G189:G191)</f>
        <v>41894.146760000003</v>
      </c>
      <c r="H192" s="190">
        <f>D192-G192</f>
        <v>2383.8532399999967</v>
      </c>
      <c r="I192" s="190">
        <f>SUM(I189:I191)</f>
        <v>37626.327059999996</v>
      </c>
      <c r="J192" s="117"/>
    </row>
    <row r="193" spans="1:10" ht="12" customHeight="1" x14ac:dyDescent="0.25">
      <c r="A193" s="1"/>
      <c r="B193" s="277"/>
      <c r="C193" s="101" t="s">
        <v>86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140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112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111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77"/>
      <c r="C202" s="90" t="s">
        <v>115</v>
      </c>
      <c r="D202" s="124">
        <v>3987</v>
      </c>
      <c r="E202" s="72">
        <f>E203+E204</f>
        <v>26.974689999999999</v>
      </c>
      <c r="F202" s="72">
        <f>F203+F204</f>
        <v>3036.5483100000001</v>
      </c>
      <c r="G202" s="72">
        <f>D202-F202</f>
        <v>950.45168999999987</v>
      </c>
      <c r="H202" s="72">
        <f>H203+H204</f>
        <v>3557.5004199999998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21.07629</f>
        <v>21.07629</v>
      </c>
      <c r="F203" s="72">
        <f>2448.13523</f>
        <v>2448.1352299999999</v>
      </c>
      <c r="G203" s="72"/>
      <c r="H203" s="72">
        <f>3049.12031</f>
        <v>3049.1203099999998</v>
      </c>
      <c r="I203" s="271"/>
      <c r="J203" s="117"/>
    </row>
    <row r="204" spans="1:10" ht="15" customHeight="1" x14ac:dyDescent="0.25">
      <c r="A204" s="1"/>
      <c r="B204" s="277"/>
      <c r="C204" s="172" t="s">
        <v>66</v>
      </c>
      <c r="D204" s="124"/>
      <c r="E204" s="124">
        <f>5.8984</f>
        <v>5.8983999999999996</v>
      </c>
      <c r="F204" s="124">
        <f>588.41308</f>
        <v>588.41308000000004</v>
      </c>
      <c r="G204" s="168"/>
      <c r="H204" s="124">
        <f>508.38011</f>
        <v>508.38011</v>
      </c>
      <c r="I204" s="271"/>
      <c r="J204" s="117"/>
    </row>
    <row r="205" spans="1:10" ht="15" customHeight="1" x14ac:dyDescent="0.25">
      <c r="A205" s="1"/>
      <c r="B205" s="277"/>
      <c r="C205" s="90" t="s">
        <v>116</v>
      </c>
      <c r="D205" s="124">
        <v>4613</v>
      </c>
      <c r="E205" s="72">
        <f>53.77692</f>
        <v>53.776919999999997</v>
      </c>
      <c r="F205" s="72">
        <f>4167.95907</f>
        <v>4167.9590699999999</v>
      </c>
      <c r="G205" s="72">
        <f>D205-F205</f>
        <v>445.04093000000012</v>
      </c>
      <c r="H205" s="72">
        <f>4896.16849</f>
        <v>4896.16849</v>
      </c>
      <c r="I205" s="271"/>
      <c r="J205" s="117"/>
    </row>
    <row r="206" spans="1:10" ht="16.5" customHeight="1" x14ac:dyDescent="0.25">
      <c r="A206" s="1"/>
      <c r="B206" s="277"/>
      <c r="C206" s="179" t="s">
        <v>85</v>
      </c>
      <c r="D206" s="190">
        <f>D205+D202</f>
        <v>8600</v>
      </c>
      <c r="E206" s="190">
        <f>SUM(E202,E205)</f>
        <v>80.751609999999999</v>
      </c>
      <c r="F206" s="190">
        <f>SUM(F202,F205)</f>
        <v>7204.50738</v>
      </c>
      <c r="G206" s="190">
        <f>D206-F206</f>
        <v>1395.49262</v>
      </c>
      <c r="H206" s="190">
        <f>SUM(H202,H205)</f>
        <v>8453.6689100000003</v>
      </c>
      <c r="I206" s="271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113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111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77"/>
      <c r="C215" s="90" t="s">
        <v>115</v>
      </c>
      <c r="D215" s="124">
        <v>5090</v>
      </c>
      <c r="E215" s="72">
        <f>E216+E217</f>
        <v>57.754219999999997</v>
      </c>
      <c r="F215" s="72">
        <f>F216+F217</f>
        <v>3927.3139000000001</v>
      </c>
      <c r="G215" s="72">
        <f>D215-F215</f>
        <v>1162.6860999999999</v>
      </c>
      <c r="H215" s="72">
        <f>H216+H217</f>
        <v>4077.8840799999998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51.31672</f>
        <v>51.316719999999997</v>
      </c>
      <c r="F216" s="72">
        <f>3612.8885</f>
        <v>3612.8885</v>
      </c>
      <c r="G216" s="72"/>
      <c r="H216" s="72">
        <f>3647.73497</f>
        <v>3647.73497</v>
      </c>
      <c r="I216" s="271"/>
      <c r="J216" s="117"/>
    </row>
    <row r="217" spans="1:10" ht="15" customHeight="1" x14ac:dyDescent="0.25">
      <c r="A217" s="1"/>
      <c r="B217" s="277"/>
      <c r="C217" s="172" t="s">
        <v>66</v>
      </c>
      <c r="D217" s="124"/>
      <c r="E217" s="124">
        <f>6.4375</f>
        <v>6.4375</v>
      </c>
      <c r="F217" s="124">
        <f>314.4254</f>
        <v>314.42540000000002</v>
      </c>
      <c r="G217" s="168"/>
      <c r="H217" s="124">
        <f>430.14911</f>
        <v>430.14911000000001</v>
      </c>
      <c r="I217" s="271"/>
      <c r="J217" s="117"/>
    </row>
    <row r="218" spans="1:10" ht="15" customHeight="1" x14ac:dyDescent="0.25">
      <c r="A218" s="1"/>
      <c r="B218" s="277"/>
      <c r="C218" s="90" t="s">
        <v>116</v>
      </c>
      <c r="D218" s="124">
        <v>2981</v>
      </c>
      <c r="E218" s="72">
        <f>43.95954</f>
        <v>43.959539999999997</v>
      </c>
      <c r="F218" s="72">
        <f>1801.44755</f>
        <v>1801.4475500000001</v>
      </c>
      <c r="G218" s="72">
        <f>D218-F218</f>
        <v>1179.5524499999999</v>
      </c>
      <c r="H218" s="72">
        <f>2219.10083</f>
        <v>2219.1008299999999</v>
      </c>
      <c r="I218" s="271"/>
      <c r="J218" s="117"/>
    </row>
    <row r="219" spans="1:10" ht="16.5" customHeight="1" x14ac:dyDescent="0.25">
      <c r="A219" s="1"/>
      <c r="B219" s="277"/>
      <c r="C219" s="179" t="s">
        <v>85</v>
      </c>
      <c r="D219" s="190">
        <f>D218+D215</f>
        <v>8071</v>
      </c>
      <c r="E219" s="190">
        <f>SUM(E215,E218)</f>
        <v>101.71375999999999</v>
      </c>
      <c r="F219" s="190">
        <f>SUM(F215,F218)</f>
        <v>5728.76145</v>
      </c>
      <c r="G219" s="190">
        <f>D219-F219</f>
        <v>2342.23855</v>
      </c>
      <c r="H219" s="190">
        <f>SUM(H215,H218)</f>
        <v>6296.9849099999992</v>
      </c>
      <c r="I219" s="271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25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87</v>
      </c>
      <c r="D222" s="223"/>
      <c r="E222" s="223"/>
      <c r="F222" s="223"/>
      <c r="G222" s="223"/>
      <c r="H222" s="223"/>
      <c r="I222" s="223"/>
      <c r="J222" s="247"/>
    </row>
    <row r="223" spans="1:10" ht="21.6" customHeight="1" x14ac:dyDescent="0.25">
      <c r="A223" s="223" t="s">
        <v>111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82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88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89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117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48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90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100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91</v>
      </c>
      <c r="D237" s="124">
        <v>800</v>
      </c>
      <c r="E237" s="124">
        <f>1.32632</f>
        <v>1.3263199999999999</v>
      </c>
      <c r="F237" s="124">
        <f>295.0604</f>
        <v>295.06040000000002</v>
      </c>
      <c r="G237" s="124">
        <f>D237-F237</f>
        <v>504.93959999999998</v>
      </c>
      <c r="H237" s="124">
        <f>430.36812</f>
        <v>430.36811999999998</v>
      </c>
      <c r="I237" s="65"/>
      <c r="J237" s="267"/>
    </row>
    <row r="238" spans="1:10" ht="14.1" customHeight="1" x14ac:dyDescent="0.25">
      <c r="A238" s="1"/>
      <c r="B238" s="277"/>
      <c r="C238" s="90" t="s">
        <v>92</v>
      </c>
      <c r="D238" s="269">
        <v>2193</v>
      </c>
      <c r="E238" s="124">
        <f>24.59193</f>
        <v>24.591930000000001</v>
      </c>
      <c r="F238" s="124">
        <f>712.05614</f>
        <v>712.05614000000003</v>
      </c>
      <c r="G238" s="124">
        <f>D238-F238</f>
        <v>1480.9438599999999</v>
      </c>
      <c r="H238" s="124">
        <f>1566.59687</f>
        <v>1566.5968700000001</v>
      </c>
      <c r="I238" s="173"/>
      <c r="J238" s="111"/>
    </row>
    <row r="239" spans="1:10" ht="16.5" customHeight="1" x14ac:dyDescent="0.25">
      <c r="A239" s="65"/>
      <c r="B239" s="75"/>
      <c r="C239" s="146" t="s">
        <v>79</v>
      </c>
      <c r="D239" s="269">
        <v>10</v>
      </c>
      <c r="E239" s="168">
        <f>0</f>
        <v>0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93</v>
      </c>
      <c r="D240" s="245"/>
      <c r="E240" s="168">
        <f>0.02025</f>
        <v>2.0250000000000001E-2</v>
      </c>
      <c r="F240" s="168">
        <f>2.39853</f>
        <v>2.3985300000000001</v>
      </c>
      <c r="G240" s="124">
        <f>D240-F240</f>
        <v>-2.3985300000000001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85</v>
      </c>
      <c r="D241" s="5">
        <f>D226</f>
        <v>3003</v>
      </c>
      <c r="E241" s="190">
        <f>SUM(E237:E240)</f>
        <v>25.938500000000001</v>
      </c>
      <c r="F241" s="190">
        <f>SUM(F237:F240)</f>
        <v>1010.3362100000001</v>
      </c>
      <c r="G241" s="190">
        <f>D241-F241</f>
        <v>1992.6637900000001</v>
      </c>
      <c r="H241" s="190">
        <f>H237+H238+H239+H240</f>
        <v>2000.6656099999998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111</v>
      </c>
    </row>
    <row r="245" spans="1:10" ht="14.1" customHeight="1" x14ac:dyDescent="0.25">
      <c r="A245" s="1" t="s">
        <v>111</v>
      </c>
    </row>
    <row r="246" spans="1:10" ht="30" customHeight="1" x14ac:dyDescent="0.35">
      <c r="A246" s="223"/>
      <c r="B246" s="1"/>
      <c r="C246" s="213" t="s">
        <v>94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95</v>
      </c>
      <c r="F249" s="180"/>
      <c r="G249" s="144" t="s">
        <v>96</v>
      </c>
      <c r="H249" s="180"/>
      <c r="I249" s="145"/>
      <c r="J249" s="127"/>
    </row>
    <row r="250" spans="1:10" ht="14.25" customHeight="1" x14ac:dyDescent="0.25">
      <c r="B250" s="69"/>
      <c r="C250" s="281" t="s">
        <v>82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89</v>
      </c>
      <c r="D251" s="46">
        <f>25446+880-1500</f>
        <v>24826</v>
      </c>
      <c r="E251" s="173" t="s">
        <v>92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88</v>
      </c>
      <c r="D252" s="46">
        <v>8940</v>
      </c>
      <c r="E252" s="173" t="s">
        <v>58</v>
      </c>
      <c r="F252" s="45">
        <v>5500</v>
      </c>
      <c r="G252" s="271" t="s">
        <v>97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98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48</v>
      </c>
      <c r="D254" s="35">
        <v>71638</v>
      </c>
      <c r="E254" s="167" t="s">
        <v>99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128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118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135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73.128960000000006</v>
      </c>
      <c r="G262" s="276">
        <f t="shared" si="17"/>
        <v>7728.8309199999994</v>
      </c>
      <c r="H262" s="276">
        <f>H266+H265+H264+H263</f>
        <v>20007.16908</v>
      </c>
      <c r="I262" s="276">
        <f t="shared" si="17"/>
        <v>9858.9738799999996</v>
      </c>
      <c r="J262" s="127"/>
    </row>
    <row r="263" spans="1:10" ht="14.1" customHeight="1" x14ac:dyDescent="0.25">
      <c r="A263" s="223"/>
      <c r="B263" s="69"/>
      <c r="C263" s="278" t="s">
        <v>101</v>
      </c>
      <c r="D263" s="279">
        <v>14132</v>
      </c>
      <c r="E263" s="279">
        <v>16670</v>
      </c>
      <c r="F263" s="280">
        <f>0</f>
        <v>0</v>
      </c>
      <c r="G263" s="280">
        <f>2662.14139</f>
        <v>2662.1413899999998</v>
      </c>
      <c r="H263" s="280">
        <f t="shared" ref="H263:H267" si="18">E263-G263</f>
        <v>14007.858609999999</v>
      </c>
      <c r="I263" s="280">
        <f>5500.45132</f>
        <v>5500.4513200000001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1017.19341</f>
        <v>1017.19341</v>
      </c>
      <c r="H264" s="280">
        <f t="shared" si="18"/>
        <v>3321.8065900000001</v>
      </c>
      <c r="I264" s="280">
        <f>1183.7259</f>
        <v>1183.7258999999999</v>
      </c>
      <c r="J264" s="127"/>
    </row>
    <row r="265" spans="1:10" ht="14.1" customHeight="1" x14ac:dyDescent="0.25">
      <c r="A265" s="223"/>
      <c r="B265" s="69"/>
      <c r="C265" s="282" t="s">
        <v>98</v>
      </c>
      <c r="D265" s="279">
        <v>1506</v>
      </c>
      <c r="E265" s="279">
        <v>1571</v>
      </c>
      <c r="F265" s="280">
        <f>13.06596</f>
        <v>13.06596</v>
      </c>
      <c r="G265" s="280">
        <f>1221.79213</f>
        <v>1221.79213</v>
      </c>
      <c r="H265" s="280">
        <f t="shared" si="18"/>
        <v>349.20786999999996</v>
      </c>
      <c r="I265" s="280">
        <f>1428.4636</f>
        <v>1428.4636</v>
      </c>
      <c r="J265" s="127"/>
    </row>
    <row r="266" spans="1:10" ht="14.1" customHeight="1" x14ac:dyDescent="0.25">
      <c r="A266" s="223"/>
      <c r="B266" s="69"/>
      <c r="C266" s="284" t="s">
        <v>121</v>
      </c>
      <c r="D266" s="285">
        <v>5043</v>
      </c>
      <c r="E266" s="285">
        <v>5156</v>
      </c>
      <c r="F266" s="280">
        <f>60.063</f>
        <v>60.063000000000002</v>
      </c>
      <c r="G266" s="280">
        <f>2827.70399</f>
        <v>2827.70399</v>
      </c>
      <c r="H266" s="280">
        <f t="shared" si="18"/>
        <v>2328.29601</v>
      </c>
      <c r="I266" s="280">
        <f>1746.33306</f>
        <v>1746.3330599999999</v>
      </c>
      <c r="J266" s="127"/>
    </row>
    <row r="267" spans="1:10" ht="14.1" customHeight="1" x14ac:dyDescent="0.25">
      <c r="A267" s="223"/>
      <c r="B267" s="69"/>
      <c r="C267" s="287" t="s">
        <v>58</v>
      </c>
      <c r="D267" s="288">
        <v>5500</v>
      </c>
      <c r="E267" s="288">
        <v>5500</v>
      </c>
      <c r="F267" s="290">
        <f>0</f>
        <v>0</v>
      </c>
      <c r="G267" s="290">
        <f>4095.19124</f>
        <v>4095.1912400000001</v>
      </c>
      <c r="H267" s="290">
        <f t="shared" si="18"/>
        <v>1404.8087599999999</v>
      </c>
      <c r="I267" s="290">
        <f>2085.71178</f>
        <v>2085.7117800000001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69.133650000000003</v>
      </c>
      <c r="G268" s="291">
        <f>G270+G269</f>
        <v>1687.1603700000001</v>
      </c>
      <c r="H268" s="291">
        <f>E268-G268</f>
        <v>6312.8396300000004</v>
      </c>
      <c r="I268" s="291">
        <f>I270+I269</f>
        <v>2084.0363000000002</v>
      </c>
      <c r="J268" s="127"/>
    </row>
    <row r="269" spans="1:10" ht="14.1" customHeight="1" x14ac:dyDescent="0.25">
      <c r="A269" s="223"/>
      <c r="B269" s="69"/>
      <c r="C269" s="282" t="s">
        <v>52</v>
      </c>
      <c r="D269" s="293"/>
      <c r="E269" s="279"/>
      <c r="F269" s="280">
        <f>1.5702</f>
        <v>1.5702</v>
      </c>
      <c r="G269" s="280">
        <f>482.99801</f>
        <v>482.99801000000002</v>
      </c>
      <c r="H269" s="280"/>
      <c r="I269" s="280">
        <f>608.07433</f>
        <v>608.07433000000003</v>
      </c>
      <c r="J269" s="127"/>
    </row>
    <row r="270" spans="1:10" ht="14.1" customHeight="1" x14ac:dyDescent="0.25">
      <c r="A270" s="223"/>
      <c r="B270" s="69"/>
      <c r="C270" s="295" t="s">
        <v>102</v>
      </c>
      <c r="D270" s="296"/>
      <c r="E270" s="298"/>
      <c r="F270" s="299">
        <f>67.56345</f>
        <v>67.563450000000003</v>
      </c>
      <c r="G270" s="299">
        <f>1204.16236</f>
        <v>1204.16236</v>
      </c>
      <c r="H270" s="299"/>
      <c r="I270" s="299">
        <f>1475.96197</f>
        <v>1475.9619700000001</v>
      </c>
      <c r="J270" s="127"/>
    </row>
    <row r="271" spans="1:10" ht="14.1" customHeight="1" x14ac:dyDescent="0.2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103</v>
      </c>
      <c r="D272" s="303"/>
      <c r="E272" s="304"/>
      <c r="F272" s="290">
        <f>19.21085</f>
        <v>19.210850000000001</v>
      </c>
      <c r="G272" s="290">
        <f>136.47709</f>
        <v>136.47709</v>
      </c>
      <c r="H272" s="290">
        <f>E272-G272</f>
        <v>-136.47709</v>
      </c>
      <c r="I272" s="290">
        <f>100.79192</f>
        <v>100.79192</v>
      </c>
      <c r="J272" s="127"/>
    </row>
    <row r="273" spans="1:10" ht="19.5" customHeight="1" x14ac:dyDescent="0.2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161.47345999999999</v>
      </c>
      <c r="G273" s="308">
        <f t="shared" si="19"/>
        <v>13648.22812</v>
      </c>
      <c r="H273" s="308">
        <f>H262+H267+H268+H271+H272</f>
        <v>27600.77188</v>
      </c>
      <c r="I273" s="308">
        <f t="shared" si="19"/>
        <v>14129.630279999999</v>
      </c>
      <c r="J273" s="127"/>
    </row>
    <row r="274" spans="1:10" ht="14.1" customHeight="1" x14ac:dyDescent="0.25">
      <c r="A274" s="223"/>
      <c r="B274" s="69"/>
      <c r="C274" s="156" t="s">
        <v>104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129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137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372.75" customHeight="1" x14ac:dyDescent="0.25">
      <c r="A278" s="223"/>
      <c r="B278" s="145" t="s">
        <v>111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111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105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89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72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48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119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106</v>
      </c>
      <c r="D293" s="21" t="s">
        <v>107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" customHeight="1" x14ac:dyDescent="0.25">
      <c r="A294" s="223"/>
      <c r="B294" s="69"/>
      <c r="C294" s="287" t="s">
        <v>108</v>
      </c>
      <c r="D294" s="197">
        <v>779</v>
      </c>
      <c r="E294" s="25">
        <f>SUM(E295:E296)</f>
        <v>24.134999999999998</v>
      </c>
      <c r="F294" s="25">
        <f>SUM(F295:F296)</f>
        <v>438.19123000000002</v>
      </c>
      <c r="G294" s="82">
        <f>D294-F294</f>
        <v>340.80876999999998</v>
      </c>
      <c r="H294" s="25">
        <f>SUM(H295:H296)</f>
        <v>460.72478000000001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19.7705</f>
        <v>19.770499999999998</v>
      </c>
      <c r="F295" s="198">
        <f>343.00923</f>
        <v>343.00923</v>
      </c>
      <c r="G295" s="199"/>
      <c r="H295" s="198">
        <f>363.47458</f>
        <v>363.47458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4.3645</f>
        <v>4.3644999999999996</v>
      </c>
      <c r="F296" s="202">
        <f>95.182</f>
        <v>95.182000000000002</v>
      </c>
      <c r="G296" s="203"/>
      <c r="H296" s="202">
        <f>97.2502</f>
        <v>97.250200000000007</v>
      </c>
      <c r="I296" s="145"/>
      <c r="J296" s="127"/>
    </row>
    <row r="297" spans="1:10" ht="14.1" customHeight="1" x14ac:dyDescent="0.25">
      <c r="A297" s="223"/>
      <c r="B297" s="69"/>
      <c r="C297" s="287" t="s">
        <v>109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110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93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85</v>
      </c>
      <c r="D304" s="38">
        <f>D294+D297+D300</f>
        <v>2338</v>
      </c>
      <c r="E304" s="39">
        <f>E294+E297+E300+E303</f>
        <v>24.134999999999998</v>
      </c>
      <c r="F304" s="39">
        <f>F294+F297+F300+F303</f>
        <v>438.19123000000002</v>
      </c>
      <c r="G304" s="40">
        <f>D304-F304</f>
        <v>1899.8087700000001</v>
      </c>
      <c r="H304" s="39">
        <f>H294+H297+H300+H303</f>
        <v>460.72478000000001</v>
      </c>
      <c r="I304" s="26"/>
      <c r="J304" s="127"/>
    </row>
    <row r="305" spans="1:10" ht="42" customHeight="1" x14ac:dyDescent="0.25">
      <c r="A305" s="223"/>
      <c r="B305" s="230"/>
      <c r="C305" s="326" t="s">
        <v>114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111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145</v>
      </c>
      <c r="E311" s="212" t="s">
        <v>146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89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147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48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156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106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600000000000001" customHeight="1" x14ac:dyDescent="0.25">
      <c r="A322" s="223"/>
      <c r="B322" s="69"/>
      <c r="C322" s="236" t="s">
        <v>153</v>
      </c>
      <c r="D322" s="237">
        <v>248</v>
      </c>
      <c r="E322" s="29">
        <f>167.06209</f>
        <v>167.06209000000001</v>
      </c>
      <c r="F322" s="29">
        <f>774.21441</f>
        <v>774.21441000000004</v>
      </c>
      <c r="G322" s="238">
        <f>D322-F322</f>
        <v>-526.21441000000004</v>
      </c>
      <c r="H322" s="29">
        <f>332.927</f>
        <v>332.92700000000002</v>
      </c>
      <c r="I322" s="242"/>
      <c r="J322" s="127"/>
    </row>
    <row r="323" spans="1:10" ht="17.45" customHeight="1" x14ac:dyDescent="0.25">
      <c r="A323" s="223"/>
      <c r="B323" s="69"/>
      <c r="C323" s="239" t="s">
        <v>154</v>
      </c>
      <c r="D323" s="240">
        <v>22048</v>
      </c>
      <c r="E323" s="29">
        <f>75.28029</f>
        <v>75.280289999999994</v>
      </c>
      <c r="F323" s="29">
        <f>1018.3062</f>
        <v>1018.3062</v>
      </c>
      <c r="G323" s="241">
        <f>D323-F323</f>
        <v>21029.693800000001</v>
      </c>
      <c r="H323" s="29">
        <f>1620.16957</f>
        <v>1620.16957</v>
      </c>
      <c r="I323" s="26"/>
      <c r="J323" s="127"/>
    </row>
    <row r="324" spans="1:10" ht="17.100000000000001" customHeight="1" x14ac:dyDescent="0.25">
      <c r="A324" s="223"/>
      <c r="B324" s="69"/>
      <c r="C324" s="306" t="s">
        <v>85</v>
      </c>
      <c r="D324" s="229">
        <f>D322+D323</f>
        <v>22296</v>
      </c>
      <c r="E324" s="39">
        <f>E323+E322</f>
        <v>242.34237999999999</v>
      </c>
      <c r="F324" s="39">
        <f>F323+F322</f>
        <v>1792.52061</v>
      </c>
      <c r="G324" s="39">
        <f>G323+G322</f>
        <v>20503.47939</v>
      </c>
      <c r="H324" s="39">
        <f>H323+H322</f>
        <v>1953.0965700000002</v>
      </c>
      <c r="I324" s="26"/>
      <c r="J324" s="127"/>
    </row>
    <row r="325" spans="1:10" ht="22.5" customHeight="1" x14ac:dyDescent="0.25">
      <c r="A325" s="223"/>
      <c r="B325" s="69"/>
      <c r="C325" s="322" t="s">
        <v>155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111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145</v>
      </c>
      <c r="E332" s="212" t="s">
        <v>146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89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48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148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106</v>
      </c>
      <c r="D342" s="19" t="s">
        <v>1</v>
      </c>
      <c r="E342" s="246" t="s">
        <v>149</v>
      </c>
      <c r="F342" s="246" t="s">
        <v>150</v>
      </c>
      <c r="G342" s="246" t="s">
        <v>151</v>
      </c>
      <c r="H342" s="224" t="s">
        <v>152</v>
      </c>
      <c r="I342" s="247"/>
      <c r="J342" s="13"/>
    </row>
    <row r="343" spans="1:10" ht="0" hidden="1" customHeight="1" x14ac:dyDescent="0.25">
      <c r="A343" s="223"/>
      <c r="B343" s="69"/>
      <c r="C343" s="225" t="s">
        <v>153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154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85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155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32&amp;R11.08.2025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2025-08-11T12:36:55Z</dcterms:modified>
</cp:coreProperties>
</file>