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369AE6D9-15DC-417C-BD6F-E342A97FA4B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 l="1"/>
  <c r="F419" i="1"/>
  <c r="E419" i="1"/>
  <c r="E417" i="1" s="1"/>
  <c r="H418" i="1"/>
  <c r="F418" i="1"/>
  <c r="F417" i="1" s="1"/>
  <c r="E418" i="1"/>
  <c r="H417" i="1"/>
  <c r="H416" i="1"/>
  <c r="F416" i="1"/>
  <c r="F414" i="1" s="1"/>
  <c r="E416" i="1"/>
  <c r="H415" i="1"/>
  <c r="H414" i="1" s="1"/>
  <c r="F415" i="1"/>
  <c r="E415" i="1"/>
  <c r="E414" i="1" s="1"/>
  <c r="H413" i="1"/>
  <c r="H411" i="1" s="1"/>
  <c r="H421" i="1" s="1"/>
  <c r="F413" i="1"/>
  <c r="E413" i="1"/>
  <c r="H412" i="1"/>
  <c r="F412" i="1"/>
  <c r="E412" i="1"/>
  <c r="F411" i="1"/>
  <c r="E411" i="1"/>
  <c r="E389" i="1"/>
  <c r="I388" i="1"/>
  <c r="H388" i="1"/>
  <c r="G388" i="1"/>
  <c r="F388" i="1"/>
  <c r="I387" i="1"/>
  <c r="G387" i="1"/>
  <c r="H387" i="1" s="1"/>
  <c r="F387" i="1"/>
  <c r="I386" i="1"/>
  <c r="G386" i="1"/>
  <c r="G384" i="1" s="1"/>
  <c r="H384" i="1" s="1"/>
  <c r="F386" i="1"/>
  <c r="I385" i="1"/>
  <c r="I384" i="1" s="1"/>
  <c r="G385" i="1"/>
  <c r="F385" i="1"/>
  <c r="F384" i="1"/>
  <c r="I383" i="1"/>
  <c r="H383" i="1"/>
  <c r="G383" i="1"/>
  <c r="F383" i="1"/>
  <c r="I382" i="1"/>
  <c r="H382" i="1"/>
  <c r="G382" i="1"/>
  <c r="F382" i="1"/>
  <c r="I381" i="1"/>
  <c r="H381" i="1"/>
  <c r="H378" i="1" s="1"/>
  <c r="H389" i="1" s="1"/>
  <c r="G381" i="1"/>
  <c r="F381" i="1"/>
  <c r="I380" i="1"/>
  <c r="H380" i="1"/>
  <c r="G380" i="1"/>
  <c r="F380" i="1"/>
  <c r="F378" i="1" s="1"/>
  <c r="F389" i="1" s="1"/>
  <c r="I379" i="1"/>
  <c r="H379" i="1"/>
  <c r="G379" i="1"/>
  <c r="F379" i="1"/>
  <c r="I378" i="1"/>
  <c r="I389" i="1" s="1"/>
  <c r="G378" i="1"/>
  <c r="E378" i="1"/>
  <c r="D378" i="1"/>
  <c r="D389" i="1" s="1"/>
  <c r="H370" i="1"/>
  <c r="F370" i="1"/>
  <c r="D352" i="1"/>
  <c r="H351" i="1"/>
  <c r="F351" i="1"/>
  <c r="E351" i="1"/>
  <c r="H350" i="1"/>
  <c r="G350" i="1"/>
  <c r="F350" i="1"/>
  <c r="E350" i="1"/>
  <c r="H349" i="1"/>
  <c r="G349" i="1"/>
  <c r="F349" i="1"/>
  <c r="E349" i="1"/>
  <c r="H348" i="1"/>
  <c r="H352" i="1" s="1"/>
  <c r="G348" i="1"/>
  <c r="F348" i="1"/>
  <c r="F352" i="1" s="1"/>
  <c r="G352" i="1" s="1"/>
  <c r="E348" i="1"/>
  <c r="E352" i="1" s="1"/>
  <c r="D341" i="1"/>
  <c r="H297" i="1"/>
  <c r="H296" i="1"/>
  <c r="F296" i="1"/>
  <c r="E296" i="1"/>
  <c r="E297" i="1" s="1"/>
  <c r="H295" i="1"/>
  <c r="F295" i="1"/>
  <c r="E295" i="1"/>
  <c r="H294" i="1"/>
  <c r="F294" i="1"/>
  <c r="F297" i="1" s="1"/>
  <c r="G297" i="1" s="1"/>
  <c r="E294" i="1"/>
  <c r="E252" i="1"/>
  <c r="H251" i="1"/>
  <c r="F251" i="1"/>
  <c r="E251" i="1"/>
  <c r="H250" i="1"/>
  <c r="H252" i="1" s="1"/>
  <c r="F250" i="1"/>
  <c r="E250" i="1"/>
  <c r="H249" i="1"/>
  <c r="F249" i="1"/>
  <c r="F252" i="1" s="1"/>
  <c r="G252" i="1" s="1"/>
  <c r="E249" i="1"/>
  <c r="D207" i="1"/>
  <c r="G207" i="1" s="1"/>
  <c r="G206" i="1"/>
  <c r="H205" i="1"/>
  <c r="F205" i="1"/>
  <c r="G205" i="1" s="1"/>
  <c r="E205" i="1"/>
  <c r="E207" i="1" s="1"/>
  <c r="H204" i="1"/>
  <c r="H207" i="1" s="1"/>
  <c r="F204" i="1"/>
  <c r="F207" i="1" s="1"/>
  <c r="E204" i="1"/>
  <c r="D184" i="1"/>
  <c r="H182" i="1"/>
  <c r="G182" i="1"/>
  <c r="F182" i="1"/>
  <c r="E182" i="1"/>
  <c r="H181" i="1"/>
  <c r="F181" i="1"/>
  <c r="E181" i="1"/>
  <c r="H180" i="1"/>
  <c r="H178" i="1" s="1"/>
  <c r="H184" i="1" s="1"/>
  <c r="F180" i="1"/>
  <c r="E180" i="1"/>
  <c r="E178" i="1" s="1"/>
  <c r="H179" i="1"/>
  <c r="F179" i="1"/>
  <c r="F178" i="1" s="1"/>
  <c r="G178" i="1" s="1"/>
  <c r="E179" i="1"/>
  <c r="H177" i="1"/>
  <c r="F177" i="1"/>
  <c r="G177" i="1" s="1"/>
  <c r="E177" i="1"/>
  <c r="H176" i="1"/>
  <c r="F176" i="1"/>
  <c r="F184" i="1" s="1"/>
  <c r="E176" i="1"/>
  <c r="H175" i="1"/>
  <c r="G175" i="1"/>
  <c r="F175" i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I139" i="1" s="1"/>
  <c r="H140" i="1"/>
  <c r="G140" i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G134" i="1"/>
  <c r="E134" i="1"/>
  <c r="E133" i="1" s="1"/>
  <c r="I132" i="1"/>
  <c r="H132" i="1"/>
  <c r="F132" i="1"/>
  <c r="H131" i="1"/>
  <c r="I130" i="1"/>
  <c r="H130" i="1"/>
  <c r="G130" i="1"/>
  <c r="F130" i="1"/>
  <c r="F128" i="1" s="1"/>
  <c r="F150" i="1" s="1"/>
  <c r="I129" i="1"/>
  <c r="G129" i="1"/>
  <c r="H129" i="1" s="1"/>
  <c r="H128" i="1" s="1"/>
  <c r="F129" i="1"/>
  <c r="I128" i="1"/>
  <c r="E128" i="1"/>
  <c r="C126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F96" i="1" s="1"/>
  <c r="F95" i="1" s="1"/>
  <c r="I97" i="1"/>
  <c r="H97" i="1"/>
  <c r="G97" i="1"/>
  <c r="F97" i="1"/>
  <c r="I96" i="1"/>
  <c r="I95" i="1" s="1"/>
  <c r="G96" i="1"/>
  <c r="E96" i="1"/>
  <c r="D96" i="1"/>
  <c r="D95" i="1" s="1"/>
  <c r="D107" i="1" s="1"/>
  <c r="G95" i="1"/>
  <c r="E95" i="1"/>
  <c r="I94" i="1"/>
  <c r="H94" i="1"/>
  <c r="G94" i="1"/>
  <c r="F94" i="1"/>
  <c r="I93" i="1"/>
  <c r="I92" i="1" s="1"/>
  <c r="I107" i="1" s="1"/>
  <c r="G93" i="1"/>
  <c r="G92" i="1" s="1"/>
  <c r="G107" i="1" s="1"/>
  <c r="F93" i="1"/>
  <c r="F92" i="1" s="1"/>
  <c r="F107" i="1" s="1"/>
  <c r="E92" i="1"/>
  <c r="E107" i="1" s="1"/>
  <c r="C89" i="1"/>
  <c r="H85" i="1"/>
  <c r="F85" i="1"/>
  <c r="D85" i="1"/>
  <c r="G61" i="1"/>
  <c r="G60" i="1"/>
  <c r="H55" i="1"/>
  <c r="I32" i="1" s="1"/>
  <c r="I27" i="1" s="1"/>
  <c r="G55" i="1"/>
  <c r="F55" i="1"/>
  <c r="G32" i="1" s="1"/>
  <c r="H32" i="1" s="1"/>
  <c r="E55" i="1"/>
  <c r="F32" i="1" s="1"/>
  <c r="F27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F35" i="1"/>
  <c r="I33" i="1"/>
  <c r="G33" i="1"/>
  <c r="H33" i="1" s="1"/>
  <c r="F33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G28" i="1"/>
  <c r="G27" i="1" s="1"/>
  <c r="F28" i="1"/>
  <c r="I25" i="1"/>
  <c r="G25" i="1"/>
  <c r="H25" i="1" s="1"/>
  <c r="H23" i="1" s="1"/>
  <c r="F25" i="1"/>
  <c r="I24" i="1"/>
  <c r="H24" i="1"/>
  <c r="G24" i="1"/>
  <c r="F24" i="1"/>
  <c r="I23" i="1"/>
  <c r="G23" i="1"/>
  <c r="F23" i="1"/>
  <c r="H16" i="1"/>
  <c r="F16" i="1"/>
  <c r="D16" i="1"/>
  <c r="I34" i="1" l="1"/>
  <c r="I26" i="1" s="1"/>
  <c r="I44" i="1" s="1"/>
  <c r="H28" i="1"/>
  <c r="H27" i="1" s="1"/>
  <c r="G34" i="1"/>
  <c r="F34" i="1"/>
  <c r="F26" i="1" s="1"/>
  <c r="F44" i="1" s="1"/>
  <c r="H134" i="1"/>
  <c r="H96" i="1"/>
  <c r="H95" i="1" s="1"/>
  <c r="G184" i="1"/>
  <c r="F421" i="1"/>
  <c r="I133" i="1"/>
  <c r="I150" i="1" s="1"/>
  <c r="E184" i="1"/>
  <c r="G26" i="1"/>
  <c r="G44" i="1" s="1"/>
  <c r="H34" i="1"/>
  <c r="H26" i="1" s="1"/>
  <c r="H44" i="1" s="1"/>
  <c r="E150" i="1"/>
  <c r="G389" i="1"/>
  <c r="E421" i="1"/>
  <c r="H139" i="1"/>
  <c r="G128" i="1"/>
  <c r="G204" i="1"/>
  <c r="H35" i="1"/>
  <c r="H93" i="1"/>
  <c r="H92" i="1" s="1"/>
  <c r="H107" i="1" s="1"/>
  <c r="G139" i="1"/>
  <c r="G133" i="1" s="1"/>
  <c r="G150" i="1" l="1"/>
  <c r="H133" i="1"/>
  <c r="H150" i="1" s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<sst xmlns="http://schemas.openxmlformats.org/spreadsheetml/2006/main" count="358" uniqueCount="150">
  <si>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</si>
  <si>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</si>
  <si>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</si>
  <si>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</si>
  <si>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</si>
  <si>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</si>
  <si>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</si>
  <si>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</si>
  <si>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</si>
  <si>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</si>
  <si>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</si>
  <si>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</si>
  <si>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</si>
  <si>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</si>
  <si>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</si>
  <si>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</si>
  <si>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</si>
  <si>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</si>
  <si>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</si>
  <si>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</si>
  <si>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</si>
  <si>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</si>
  <si>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</si>
  <si>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</si>
  <si>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</si>
  <si>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</si>
  <si>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</si>
  <si>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</si>
  <si>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</si>
  <si>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</si>
  <si>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</si>
  <si>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</si>
  <si>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</si>
  <si>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</si>
  <si>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</si>
  <si>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</si>
  <si>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</si>
  <si>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</si>
  <si>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</si>
  <si>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</si>
  <si>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</si>
  <si>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</si>
  <si>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</si>
  <si>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</si>
  <si>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</si>
  <si>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</si>
  <si>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</si>
  <si>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</si>
  <si>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</si>
  <si>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</si>
  <si>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</si>
  <si>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</si>
  <si>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</si>
  <si>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</si>
  <si>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</si>
  <si>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</si>
  <si>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</si>
  <si>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</si>
  <si>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</si>
  <si>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</si>
  <si>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</si>
  <si>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</si>
  <si>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</si>
  <si>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</si>
  <si>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</si>
  <si>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</si>
  <si>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</si>
  <si>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</si>
  <si>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</si>
  <si>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</si>
  <si>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</si>
  <si>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</si>
  <si>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</si>
  <si>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</si>
  <si>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</si>
  <si>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</si>
  <si>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</si>
  <si>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</si>
  <si>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</si>
  <si>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</si>
  <si>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</si>
  <si>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</si>
  <si>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</si>
  <si>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</si>
  <si>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</si>
  <si>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</si>
  <si>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</si>
  <si>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</si>
  <si>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</si>
  <si>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</si>
  <si>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</si>
  <si>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</si>
  <si>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</si>
  <si>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</si>
  <si>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</si>
  <si>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</si>
  <si>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</si>
  <si>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</si>
  <si>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</si>
  <si>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</si>
  <si>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</si>
  <si>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</si>
  <si>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</si>
  <si>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</si>
  <si>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</si>
  <si>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</si>
  <si>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</si>
  <si>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</si>
  <si>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</si>
  <si>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</si>
  <si>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</si>
  <si>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</si>
  <si>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</si>
  <si>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</si>
  <si>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</si>
  <si>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</si>
  <si>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</si>
  <si>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</si>
  <si>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</si>
  <si>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</si>
  <si>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</si>
  <si>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</si>
  <si>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</si>
  <si>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</si>
  <si>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</si>
  <si>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</si>
  <si>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</si>
  <si>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</si>
  <si>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</si>
  <si>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</si>
  <si>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</si>
  <si>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</si>
  <si>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</si>
  <si>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</si>
  <si>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</si>
  <si>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</si>
  <si>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</si>
  <si>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</si>
  <si>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</si>
  <si>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</si>
  <si>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</si>
  <si>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</si>
  <si>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38</t>
  </si>
  <si>
    <t>FANGST T.O.M UKE 38</t>
  </si>
  <si>
    <t>RESTKVOTER UKE 38</t>
  </si>
  <si>
    <t>FANGST T.O.M UKE 38 2022</t>
  </si>
  <si>
    <r>
      <t xml:space="preserve">3 </t>
    </r>
    <r>
      <rPr>
        <sz val="9"/>
        <color indexed="8"/>
        <rFont val="Calibri"/>
        <family val="2"/>
      </rPr>
      <t>Registrert rekreasjonsfiske utgjør 702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</si>
  <si>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66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</si>
  <si>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6 596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</si>
  <si>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641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</si>
</sst>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topLeftCell="A196" zoomScale="85" zoomScaleNormal="85" zoomScaleSheetLayoutView="100" zoomScalePageLayoutView="85" workbookViewId="0">
      <selection activeCell="I65687" sqref="I65687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0" t="s">
        <v>139</v>
      </c>
      <c r="C2" s="291"/>
      <c r="D2" s="291"/>
      <c r="E2" s="291"/>
      <c r="F2" s="291"/>
      <c r="G2" s="291"/>
      <c r="H2" s="291"/>
      <c r="I2" s="291"/>
      <c r="J2" s="292"/>
    </row>
    <row r="3" spans="1:10" ht="14.9" customHeight="1" x14ac:dyDescent="0.3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3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5" customHeight="1" x14ac:dyDescent="0.3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5" customHeight="1" x14ac:dyDescent="0.3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3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3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3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5" customHeight="1" x14ac:dyDescent="0.3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3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3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3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3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3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3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5" customHeight="1" x14ac:dyDescent="0.3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3173.9457000000002</v>
      </c>
      <c r="G23" s="28">
        <f t="shared" si="0"/>
        <v>60327.825420000001</v>
      </c>
      <c r="H23" s="11">
        <f t="shared" si="0"/>
        <v>26499.174580000003</v>
      </c>
      <c r="I23" s="11">
        <f t="shared" si="0"/>
        <v>75044.034899999999</v>
      </c>
      <c r="J23" s="242"/>
    </row>
    <row r="24" spans="1:10" ht="14.15" customHeight="1" x14ac:dyDescent="0.35">
      <c r="A24" s="1"/>
      <c r="B24" s="252"/>
      <c r="C24" s="47" t="s">
        <v>20</v>
      </c>
      <c r="D24" s="48">
        <v>79217</v>
      </c>
      <c r="E24" s="48">
        <v>86045</v>
      </c>
      <c r="F24" s="23">
        <f>3173.9457</f>
        <v>3173.9457000000002</v>
      </c>
      <c r="G24" s="23">
        <f>59912.04857</f>
        <v>59912.048569999999</v>
      </c>
      <c r="H24" s="23">
        <f>E24-G24</f>
        <v>26132.951430000001</v>
      </c>
      <c r="I24" s="23">
        <f>74637.89443</f>
        <v>74637.89443</v>
      </c>
      <c r="J24" s="242"/>
    </row>
    <row r="25" spans="1:10" ht="14.15" customHeight="1" x14ac:dyDescent="0.3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415.77685</f>
        <v>415.77685000000002</v>
      </c>
      <c r="H25" s="23">
        <f>E25-G25</f>
        <v>366.22314999999998</v>
      </c>
      <c r="I25" s="23">
        <f>406.14047</f>
        <v>406.14046999999999</v>
      </c>
      <c r="J25" s="242"/>
    </row>
    <row r="26" spans="1:10" ht="14.15" customHeight="1" x14ac:dyDescent="0.3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513.51976000000002</v>
      </c>
      <c r="G26" s="11">
        <f t="shared" si="1"/>
        <v>176595.92894000001</v>
      </c>
      <c r="H26" s="11">
        <f t="shared" si="1"/>
        <v>20974.071060000009</v>
      </c>
      <c r="I26" s="11">
        <f t="shared" si="1"/>
        <v>212569.62135</v>
      </c>
      <c r="J26" s="242"/>
    </row>
    <row r="27" spans="1:10" ht="15" customHeight="1" x14ac:dyDescent="0.3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453.11263000000002</v>
      </c>
      <c r="G27" s="134">
        <f t="shared" ref="G27:I27" si="2">G28+G29+G30+G31+G32</f>
        <v>139451.46848000001</v>
      </c>
      <c r="H27" s="134">
        <f t="shared" si="2"/>
        <v>13199.531520000008</v>
      </c>
      <c r="I27" s="134">
        <f t="shared" si="2"/>
        <v>172948.52393</v>
      </c>
      <c r="J27" s="242"/>
    </row>
    <row r="28" spans="1:10" ht="14.15" customHeight="1" x14ac:dyDescent="0.35">
      <c r="A28" s="199"/>
      <c r="B28" s="184"/>
      <c r="C28" s="64" t="s">
        <v>24</v>
      </c>
      <c r="D28" s="65">
        <v>32925</v>
      </c>
      <c r="E28" s="65">
        <v>39549</v>
      </c>
      <c r="F28" s="205">
        <f>38.51281</f>
        <v>38.512810000000002</v>
      </c>
      <c r="G28" s="129">
        <f>37200.07165 - F57</f>
        <v>35503.071649999998</v>
      </c>
      <c r="H28" s="129">
        <f t="shared" ref="H28:H40" si="3">E28-G28</f>
        <v>4045.928350000002</v>
      </c>
      <c r="I28" s="129">
        <f>43254.76964 - H57</f>
        <v>41250.769639999999</v>
      </c>
      <c r="J28" s="67"/>
    </row>
    <row r="29" spans="1:10" ht="14.15" customHeight="1" x14ac:dyDescent="0.35">
      <c r="A29" s="199"/>
      <c r="B29" s="184"/>
      <c r="C29" s="64" t="s">
        <v>25</v>
      </c>
      <c r="D29" s="65">
        <v>36657</v>
      </c>
      <c r="E29" s="65">
        <v>40764</v>
      </c>
      <c r="F29" s="129">
        <f>210.32203</f>
        <v>210.32203000000001</v>
      </c>
      <c r="G29" s="129">
        <f>39563.09849 - F58</f>
        <v>37173.098489999997</v>
      </c>
      <c r="H29" s="129">
        <f t="shared" si="3"/>
        <v>3590.9015100000033</v>
      </c>
      <c r="I29" s="129">
        <f>47834.43687 - H58</f>
        <v>46111.436869999998</v>
      </c>
      <c r="J29" s="67"/>
    </row>
    <row r="30" spans="1:10" ht="14.15" customHeight="1" x14ac:dyDescent="0.35">
      <c r="A30" s="199"/>
      <c r="B30" s="184"/>
      <c r="C30" s="64" t="s">
        <v>26</v>
      </c>
      <c r="D30" s="65">
        <v>33272</v>
      </c>
      <c r="E30" s="65">
        <v>37267</v>
      </c>
      <c r="F30" s="129">
        <f>28.02214</f>
        <v>28.02214</v>
      </c>
      <c r="G30" s="129">
        <f>37311.9212 - F59</f>
        <v>36175.921199999997</v>
      </c>
      <c r="H30" s="129">
        <f t="shared" si="3"/>
        <v>1091.078800000003</v>
      </c>
      <c r="I30" s="129">
        <f>47636.20532 - H59</f>
        <v>46645.205320000001</v>
      </c>
      <c r="J30" s="67"/>
    </row>
    <row r="31" spans="1:10" ht="14.15" customHeight="1" x14ac:dyDescent="0.35">
      <c r="A31" s="199"/>
      <c r="B31" s="184"/>
      <c r="C31" s="64" t="s">
        <v>27</v>
      </c>
      <c r="D31" s="65">
        <v>24281</v>
      </c>
      <c r="E31" s="65">
        <v>25407</v>
      </c>
      <c r="F31" s="129">
        <f>9.25565</f>
        <v>9.2556499999999993</v>
      </c>
      <c r="G31" s="129">
        <f>25165.37714 - F60</f>
        <v>24616.377140000001</v>
      </c>
      <c r="H31" s="129">
        <f t="shared" si="3"/>
        <v>790.62285999999949</v>
      </c>
      <c r="I31" s="129">
        <f>34133.1121 - H60</f>
        <v>33523.112099999998</v>
      </c>
      <c r="J31" s="67"/>
    </row>
    <row r="32" spans="1:10" ht="14.15" customHeight="1" x14ac:dyDescent="0.3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167</v>
      </c>
      <c r="G32" s="129">
        <f>F55</f>
        <v>5983</v>
      </c>
      <c r="H32" s="129">
        <f t="shared" si="3"/>
        <v>3681</v>
      </c>
      <c r="I32" s="129">
        <f>H55</f>
        <v>5418</v>
      </c>
      <c r="J32" s="67"/>
    </row>
    <row r="33" spans="1:13" ht="14.15" customHeight="1" x14ac:dyDescent="0.35">
      <c r="A33" s="69"/>
      <c r="B33" s="55"/>
      <c r="C33" s="59" t="s">
        <v>29</v>
      </c>
      <c r="D33" s="60">
        <v>21768</v>
      </c>
      <c r="E33" s="60">
        <v>23586</v>
      </c>
      <c r="F33" s="134">
        <f>15.08261</f>
        <v>15.082610000000001</v>
      </c>
      <c r="G33" s="134">
        <f>15914.37334</f>
        <v>15914.37334</v>
      </c>
      <c r="H33" s="134">
        <f t="shared" si="3"/>
        <v>7671.6266599999999</v>
      </c>
      <c r="I33" s="134">
        <f>18801.99423</f>
        <v>18801.99423</v>
      </c>
      <c r="J33" s="67"/>
    </row>
    <row r="34" spans="1:13" ht="14.15" customHeight="1" x14ac:dyDescent="0.3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45.32452</v>
      </c>
      <c r="G34" s="134">
        <f>G35+G36</f>
        <v>21230.08712</v>
      </c>
      <c r="H34" s="134">
        <f t="shared" si="3"/>
        <v>102.91287999999986</v>
      </c>
      <c r="I34" s="134">
        <f>I35+I36</f>
        <v>20819.103190000002</v>
      </c>
      <c r="J34" s="67"/>
    </row>
    <row r="35" spans="1:13" ht="14.15" customHeight="1" x14ac:dyDescent="0.35">
      <c r="A35" s="199"/>
      <c r="B35" s="184"/>
      <c r="C35" s="64" t="s">
        <v>31</v>
      </c>
      <c r="D35" s="65">
        <v>15290</v>
      </c>
      <c r="E35" s="65">
        <v>20133</v>
      </c>
      <c r="F35" s="129">
        <f>27.32452</f>
        <v>27.32452</v>
      </c>
      <c r="G35" s="134">
        <f>25066.08712 - F61 - F62</f>
        <v>20681.08712</v>
      </c>
      <c r="H35" s="129">
        <f t="shared" si="3"/>
        <v>-548.08712000000014</v>
      </c>
      <c r="I35" s="129">
        <f>21884.10319 - H61 - H62</f>
        <v>20209.103190000002</v>
      </c>
      <c r="J35" s="67"/>
    </row>
    <row r="36" spans="1:13" ht="14.15" customHeight="1" x14ac:dyDescent="0.3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18</v>
      </c>
      <c r="G36" s="73">
        <f>F60</f>
        <v>549</v>
      </c>
      <c r="H36" s="73">
        <f t="shared" si="3"/>
        <v>651</v>
      </c>
      <c r="I36" s="73">
        <f>H60</f>
        <v>610</v>
      </c>
      <c r="J36" s="67"/>
    </row>
    <row r="37" spans="1:13" ht="15.75" customHeight="1" x14ac:dyDescent="0.3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333.80295</f>
        <v>333.80295000000001</v>
      </c>
      <c r="J37" s="242"/>
    </row>
    <row r="38" spans="1:13" ht="14.15" customHeight="1" x14ac:dyDescent="0.35">
      <c r="A38" s="1"/>
      <c r="B38" s="252"/>
      <c r="C38" s="75" t="s">
        <v>34</v>
      </c>
      <c r="D38" s="145">
        <v>851</v>
      </c>
      <c r="E38" s="145">
        <v>851</v>
      </c>
      <c r="F38" s="100">
        <f>8.4</f>
        <v>8.4</v>
      </c>
      <c r="G38" s="100">
        <f>498.74022</f>
        <v>498.74022000000002</v>
      </c>
      <c r="H38" s="100">
        <f t="shared" si="3"/>
        <v>352.25977999999998</v>
      </c>
      <c r="I38" s="100">
        <f>464.64763</f>
        <v>464.64762999999999</v>
      </c>
      <c r="J38" s="242"/>
    </row>
    <row r="39" spans="1:13" ht="17.25" customHeight="1" x14ac:dyDescent="0.3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4</v>
      </c>
      <c r="G39" s="100">
        <f>F61</f>
        <v>4385</v>
      </c>
      <c r="H39" s="100">
        <f t="shared" si="3"/>
        <v>-1337</v>
      </c>
      <c r="I39" s="100">
        <f>H61</f>
        <v>1675</v>
      </c>
      <c r="J39" s="242"/>
    </row>
    <row r="40" spans="1:13" ht="17.25" customHeight="1" x14ac:dyDescent="0.35">
      <c r="A40" s="1"/>
      <c r="B40" s="252"/>
      <c r="C40" s="75" t="s">
        <v>36</v>
      </c>
      <c r="D40" s="145">
        <v>7000</v>
      </c>
      <c r="E40" s="145">
        <v>7000</v>
      </c>
      <c r="F40" s="100">
        <f>1.79562</f>
        <v>1.79562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3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3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5" customHeight="1" x14ac:dyDescent="0.3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3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3701.6640800000005</v>
      </c>
      <c r="G44" s="78">
        <f t="shared" si="4"/>
        <v>249633.84718000004</v>
      </c>
      <c r="H44" s="78">
        <f t="shared" si="4"/>
        <v>49062.152819999981</v>
      </c>
      <c r="I44" s="78">
        <f t="shared" si="4"/>
        <v>297208.04525999998</v>
      </c>
      <c r="J44" s="242"/>
    </row>
    <row r="45" spans="1:13" ht="14.15" customHeight="1" x14ac:dyDescent="0.3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5" customHeight="1" x14ac:dyDescent="0.3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5" customHeight="1" x14ac:dyDescent="0.3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5" customHeight="1" x14ac:dyDescent="0.3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5" customHeight="1" x14ac:dyDescent="0.3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5" customHeight="1" x14ac:dyDescent="0.3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3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3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3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3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5" customHeight="1" x14ac:dyDescent="0.35">
      <c r="A55" s="101"/>
      <c r="B55" s="24"/>
      <c r="C55" s="16" t="s">
        <v>46</v>
      </c>
      <c r="D55" s="299">
        <v>9840</v>
      </c>
      <c r="E55" s="11">
        <f>E59+E58+E57+E56</f>
        <v>167</v>
      </c>
      <c r="F55" s="11">
        <f>F59+F58+F57+F56</f>
        <v>5983</v>
      </c>
      <c r="G55" s="299">
        <f>D55-F55</f>
        <v>3857</v>
      </c>
      <c r="H55" s="11">
        <f>H59+H58+H57+H56</f>
        <v>5418</v>
      </c>
      <c r="I55" s="256"/>
      <c r="J55" s="242"/>
    </row>
    <row r="56" spans="1:10" ht="14.15" customHeight="1" x14ac:dyDescent="0.35">
      <c r="A56" s="101"/>
      <c r="B56" s="24"/>
      <c r="C56" s="64" t="s">
        <v>24</v>
      </c>
      <c r="D56" s="300"/>
      <c r="E56" s="129">
        <v>38</v>
      </c>
      <c r="F56" s="129">
        <v>760</v>
      </c>
      <c r="G56" s="300"/>
      <c r="H56" s="129">
        <v>700</v>
      </c>
      <c r="I56" s="256"/>
      <c r="J56" s="242"/>
    </row>
    <row r="57" spans="1:10" ht="14.15" customHeight="1" x14ac:dyDescent="0.35">
      <c r="A57" s="101"/>
      <c r="B57" s="24"/>
      <c r="C57" s="64" t="s">
        <v>25</v>
      </c>
      <c r="D57" s="300"/>
      <c r="E57" s="129">
        <v>95</v>
      </c>
      <c r="F57" s="129">
        <v>1697</v>
      </c>
      <c r="G57" s="300"/>
      <c r="H57" s="129">
        <v>2004</v>
      </c>
      <c r="I57" s="256"/>
      <c r="J57" s="242"/>
    </row>
    <row r="58" spans="1:10" ht="14.15" customHeight="1" x14ac:dyDescent="0.35">
      <c r="A58" s="101"/>
      <c r="B58" s="24"/>
      <c r="C58" s="64" t="s">
        <v>26</v>
      </c>
      <c r="D58" s="300"/>
      <c r="E58" s="129">
        <v>26</v>
      </c>
      <c r="F58" s="129">
        <v>2390</v>
      </c>
      <c r="G58" s="300"/>
      <c r="H58" s="129">
        <v>1723</v>
      </c>
      <c r="I58" s="256"/>
      <c r="J58" s="242"/>
    </row>
    <row r="59" spans="1:10" ht="14.15" customHeight="1" x14ac:dyDescent="0.35">
      <c r="A59" s="101"/>
      <c r="B59" s="24"/>
      <c r="C59" s="89" t="s">
        <v>27</v>
      </c>
      <c r="D59" s="301"/>
      <c r="E59" s="194">
        <v>8</v>
      </c>
      <c r="F59" s="194">
        <v>1136</v>
      </c>
      <c r="G59" s="301"/>
      <c r="H59" s="194">
        <v>991</v>
      </c>
      <c r="I59" s="256"/>
      <c r="J59" s="242"/>
    </row>
    <row r="60" spans="1:10" ht="14.15" customHeight="1" x14ac:dyDescent="0.35">
      <c r="A60" s="101"/>
      <c r="B60" s="24"/>
      <c r="C60" s="91" t="s">
        <v>47</v>
      </c>
      <c r="D60" s="97">
        <v>1200</v>
      </c>
      <c r="E60" s="97">
        <v>18</v>
      </c>
      <c r="F60" s="97">
        <v>549</v>
      </c>
      <c r="G60" s="97">
        <f>D60-F60</f>
        <v>651</v>
      </c>
      <c r="H60" s="97">
        <v>610</v>
      </c>
      <c r="I60" s="256"/>
      <c r="J60" s="242"/>
    </row>
    <row r="61" spans="1:10" ht="14.15" customHeight="1" x14ac:dyDescent="0.35">
      <c r="A61" s="101"/>
      <c r="B61" s="24"/>
      <c r="C61" s="144" t="s">
        <v>48</v>
      </c>
      <c r="D61" s="141">
        <v>3000</v>
      </c>
      <c r="E61" s="141">
        <v>4</v>
      </c>
      <c r="F61" s="141">
        <v>4385</v>
      </c>
      <c r="G61" s="141">
        <f>D61-F61</f>
        <v>-1385</v>
      </c>
      <c r="H61" s="141">
        <v>1675</v>
      </c>
      <c r="I61" s="256"/>
      <c r="J61" s="242"/>
    </row>
    <row r="62" spans="1:10" ht="14.15" customHeight="1" x14ac:dyDescent="0.3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5" customHeight="1" x14ac:dyDescent="0.3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3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3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3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49999999999999" customHeight="1" x14ac:dyDescent="0.3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7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3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3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3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5" customHeight="1" x14ac:dyDescent="0.3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3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3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3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5" customHeight="1" x14ac:dyDescent="0.3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3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4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3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5" customHeight="1" x14ac:dyDescent="0.3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69.294399999999996</v>
      </c>
      <c r="G92" s="11">
        <f t="shared" si="5"/>
        <v>39614.446809999994</v>
      </c>
      <c r="H92" s="11">
        <f t="shared" si="5"/>
        <v>-4815.4468099999967</v>
      </c>
      <c r="I92" s="11">
        <f t="shared" si="5"/>
        <v>36478.342900000003</v>
      </c>
      <c r="J92" s="242"/>
    </row>
    <row r="93" spans="1:10" ht="15" customHeight="1" x14ac:dyDescent="0.35">
      <c r="A93" s="1"/>
      <c r="B93" s="252"/>
      <c r="C93" s="47" t="s">
        <v>20</v>
      </c>
      <c r="D93" s="48">
        <v>31285</v>
      </c>
      <c r="E93" s="48">
        <v>33987</v>
      </c>
      <c r="F93" s="23">
        <f>69.2944</f>
        <v>69.294399999999996</v>
      </c>
      <c r="G93" s="23">
        <f>39106.9428199999</f>
        <v>39106.942819999997</v>
      </c>
      <c r="H93" s="23">
        <f>E93-G93</f>
        <v>-5119.9428199999966</v>
      </c>
      <c r="I93" s="23">
        <f>35761.43923</f>
        <v>35761.439230000004</v>
      </c>
      <c r="J93" s="242"/>
    </row>
    <row r="94" spans="1:10" ht="14.15" customHeight="1" x14ac:dyDescent="0.3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507.50399</f>
        <v>507.50398999999999</v>
      </c>
      <c r="H94" s="52">
        <f>E94-G94</f>
        <v>304.49601000000001</v>
      </c>
      <c r="I94" s="52">
        <f>716.90367</f>
        <v>716.90367000000003</v>
      </c>
      <c r="J94" s="242"/>
    </row>
    <row r="95" spans="1:10" ht="15.75" customHeight="1" x14ac:dyDescent="0.3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533.84981000000005</v>
      </c>
      <c r="G95" s="11">
        <f t="shared" si="6"/>
        <v>29594.948619999999</v>
      </c>
      <c r="H95" s="11">
        <f t="shared" si="6"/>
        <v>29905.051380000001</v>
      </c>
      <c r="I95" s="11">
        <f t="shared" si="6"/>
        <v>34106.208500000001</v>
      </c>
      <c r="J95" s="242"/>
    </row>
    <row r="96" spans="1:10" ht="14.15" customHeight="1" x14ac:dyDescent="0.3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210.99147000000002</v>
      </c>
      <c r="G96" s="134">
        <f t="shared" si="7"/>
        <v>21315.1263</v>
      </c>
      <c r="H96" s="134">
        <f t="shared" si="7"/>
        <v>23175.8737</v>
      </c>
      <c r="I96" s="134">
        <f t="shared" si="7"/>
        <v>26766.102480000001</v>
      </c>
      <c r="J96" s="242"/>
    </row>
    <row r="97" spans="1:10" ht="14.15" customHeight="1" x14ac:dyDescent="0.35">
      <c r="A97" s="199"/>
      <c r="B97" s="184"/>
      <c r="C97" s="64" t="s">
        <v>24</v>
      </c>
      <c r="D97" s="65">
        <v>10751</v>
      </c>
      <c r="E97" s="65">
        <v>11883.7</v>
      </c>
      <c r="F97" s="129">
        <f>107.95376</f>
        <v>107.95376</v>
      </c>
      <c r="G97" s="129">
        <f>3221.0259</f>
        <v>3221.0259000000001</v>
      </c>
      <c r="H97" s="129">
        <f t="shared" ref="H97:H104" si="8">E97-G97</f>
        <v>8662.6741000000002</v>
      </c>
      <c r="I97" s="129">
        <f>3034.48169</f>
        <v>3034.4816900000001</v>
      </c>
      <c r="J97" s="242"/>
    </row>
    <row r="98" spans="1:10" ht="14.15" customHeight="1" x14ac:dyDescent="0.35">
      <c r="A98" s="199"/>
      <c r="B98" s="184"/>
      <c r="C98" s="64" t="s">
        <v>52</v>
      </c>
      <c r="D98" s="65">
        <v>11448</v>
      </c>
      <c r="E98" s="65">
        <v>12665.1</v>
      </c>
      <c r="F98" s="129">
        <f>72.19362</f>
        <v>72.193619999999996</v>
      </c>
      <c r="G98" s="129">
        <f>6526.27892</f>
        <v>6526.2789199999997</v>
      </c>
      <c r="H98" s="129">
        <f t="shared" si="8"/>
        <v>6138.8210800000006</v>
      </c>
      <c r="I98" s="129">
        <f>8984.29682</f>
        <v>8984.2968199999996</v>
      </c>
      <c r="J98" s="242"/>
    </row>
    <row r="99" spans="1:10" ht="14.15" customHeight="1" x14ac:dyDescent="0.35">
      <c r="A99" s="199"/>
      <c r="B99" s="184"/>
      <c r="C99" s="64" t="s">
        <v>53</v>
      </c>
      <c r="D99" s="65">
        <v>10830</v>
      </c>
      <c r="E99" s="65">
        <v>11965.6</v>
      </c>
      <c r="F99" s="129">
        <f>18.3308</f>
        <v>18.3308</v>
      </c>
      <c r="G99" s="129">
        <f>6436.91677</f>
        <v>6436.9167699999998</v>
      </c>
      <c r="H99" s="129">
        <f t="shared" si="8"/>
        <v>5528.6832300000005</v>
      </c>
      <c r="I99" s="129">
        <f>7525.90723</f>
        <v>7525.9072299999998</v>
      </c>
      <c r="J99" s="242"/>
    </row>
    <row r="100" spans="1:10" ht="14.15" customHeight="1" x14ac:dyDescent="0.35">
      <c r="A100" s="199"/>
      <c r="B100" s="184"/>
      <c r="C100" s="64" t="s">
        <v>27</v>
      </c>
      <c r="D100" s="65">
        <v>7233</v>
      </c>
      <c r="E100" s="65">
        <v>7976.6</v>
      </c>
      <c r="F100" s="129">
        <f>12.51329</f>
        <v>12.51329</v>
      </c>
      <c r="G100" s="129">
        <f>5130.90471</f>
        <v>5130.9047099999998</v>
      </c>
      <c r="H100" s="129">
        <f t="shared" si="8"/>
        <v>2845.6952900000006</v>
      </c>
      <c r="I100" s="129">
        <f>7221.41674</f>
        <v>7221.4167399999997</v>
      </c>
      <c r="J100" s="242"/>
    </row>
    <row r="101" spans="1:10" ht="14.15" customHeight="1" x14ac:dyDescent="0.35">
      <c r="A101" s="199"/>
      <c r="B101" s="184"/>
      <c r="C101" s="59" t="s">
        <v>54</v>
      </c>
      <c r="D101" s="60">
        <v>9408</v>
      </c>
      <c r="E101" s="60">
        <v>10391</v>
      </c>
      <c r="F101" s="134">
        <f>280.48627</f>
        <v>280.48626999999999</v>
      </c>
      <c r="G101" s="134">
        <f>6683.10626</f>
        <v>6683.1062599999996</v>
      </c>
      <c r="H101" s="134">
        <f t="shared" si="8"/>
        <v>3707.8937400000004</v>
      </c>
      <c r="I101" s="134">
        <f>5993.32726</f>
        <v>5993.32726</v>
      </c>
      <c r="J101" s="242"/>
    </row>
    <row r="102" spans="1:10" ht="15.75" customHeight="1" x14ac:dyDescent="0.35">
      <c r="A102" s="1"/>
      <c r="B102" s="55"/>
      <c r="C102" s="38" t="s">
        <v>11</v>
      </c>
      <c r="D102" s="63">
        <v>4181</v>
      </c>
      <c r="E102" s="63">
        <v>4618</v>
      </c>
      <c r="F102" s="77">
        <f>42.37207</f>
        <v>42.372070000000001</v>
      </c>
      <c r="G102" s="77">
        <f>1596.71606</f>
        <v>1596.71606</v>
      </c>
      <c r="H102" s="77">
        <f t="shared" si="8"/>
        <v>3021.2839400000003</v>
      </c>
      <c r="I102" s="77">
        <f>1346.77876</f>
        <v>1346.7787599999999</v>
      </c>
      <c r="J102" s="242"/>
    </row>
    <row r="103" spans="1:10" ht="15.75" customHeight="1" x14ac:dyDescent="0.3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11.34443</f>
        <v>11.344429999999999</v>
      </c>
      <c r="H103" s="100">
        <f t="shared" si="8"/>
        <v>308.65557000000001</v>
      </c>
      <c r="I103" s="100">
        <f>22.00499</f>
        <v>22.004989999999999</v>
      </c>
      <c r="J103" s="242"/>
    </row>
    <row r="104" spans="1:10" ht="18" customHeight="1" x14ac:dyDescent="0.35">
      <c r="A104" s="1"/>
      <c r="B104" s="252"/>
      <c r="C104" s="75" t="s">
        <v>55</v>
      </c>
      <c r="D104" s="145">
        <v>300</v>
      </c>
      <c r="E104" s="145">
        <v>300</v>
      </c>
      <c r="F104" s="141">
        <f>0.12926</f>
        <v>0.12926000000000001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3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3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3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603.27347000000009</v>
      </c>
      <c r="G107" s="78">
        <f t="shared" si="9"/>
        <v>69529.507659999974</v>
      </c>
      <c r="H107" s="78">
        <f t="shared" si="9"/>
        <v>25439.492340000015</v>
      </c>
      <c r="I107" s="78">
        <f t="shared" si="9"/>
        <v>70950.291169999997</v>
      </c>
      <c r="J107" s="242"/>
    </row>
    <row r="108" spans="1:10" ht="13.5" customHeight="1" x14ac:dyDescent="0.3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3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3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3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3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3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3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49999999999999" customHeight="1" x14ac:dyDescent="0.3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3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5" customHeight="1" x14ac:dyDescent="0.3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3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5" customHeight="1" x14ac:dyDescent="0.3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5" customHeight="1" x14ac:dyDescent="0.3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5" customHeight="1" x14ac:dyDescent="0.3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5" customHeight="1" x14ac:dyDescent="0.3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3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3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3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3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5" customHeight="1" x14ac:dyDescent="0.3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1590.89697</v>
      </c>
      <c r="G128" s="11">
        <f t="shared" si="11"/>
        <v>51077.74396</v>
      </c>
      <c r="H128" s="11">
        <f t="shared" si="11"/>
        <v>19629.25604</v>
      </c>
      <c r="I128" s="11">
        <f t="shared" si="11"/>
        <v>48871.163189999999</v>
      </c>
      <c r="J128" s="242"/>
    </row>
    <row r="129" spans="1:10" ht="14.15" customHeight="1" x14ac:dyDescent="0.35">
      <c r="A129" s="1"/>
      <c r="B129" s="252"/>
      <c r="C129" s="47" t="s">
        <v>20</v>
      </c>
      <c r="D129" s="48">
        <v>61835</v>
      </c>
      <c r="E129" s="48">
        <v>56225</v>
      </c>
      <c r="F129" s="23">
        <f>1590.89697</f>
        <v>1590.89697</v>
      </c>
      <c r="G129" s="23">
        <f>45462.28641</f>
        <v>45462.286410000001</v>
      </c>
      <c r="H129" s="23">
        <f>E129-G129</f>
        <v>10762.713589999999</v>
      </c>
      <c r="I129" s="23">
        <f>41636.27203</f>
        <v>41636.27203</v>
      </c>
      <c r="J129" s="242"/>
    </row>
    <row r="130" spans="1:10" ht="15" customHeight="1" x14ac:dyDescent="0.3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5615.45755</f>
        <v>5615.4575500000001</v>
      </c>
      <c r="H130" s="23">
        <f>E130-G130</f>
        <v>8366.5424500000008</v>
      </c>
      <c r="I130" s="23">
        <f>7234.89116</f>
        <v>7234.8911600000001</v>
      </c>
      <c r="J130" s="242"/>
    </row>
    <row r="131" spans="1:10" ht="13.5" customHeight="1" x14ac:dyDescent="0.3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35">
      <c r="A132" s="70"/>
      <c r="B132" s="81"/>
      <c r="C132" s="91" t="s">
        <v>65</v>
      </c>
      <c r="D132" s="93">
        <v>52226</v>
      </c>
      <c r="E132" s="93">
        <v>49285</v>
      </c>
      <c r="F132" s="97">
        <f>297.607</f>
        <v>297.60700000000003</v>
      </c>
      <c r="G132" s="97">
        <f>38403.63818+6595.56114</f>
        <v>44999.19932</v>
      </c>
      <c r="H132" s="97">
        <f>E132-G132</f>
        <v>4285.8006800000003</v>
      </c>
      <c r="I132" s="97">
        <f>39509.47548</f>
        <v>39509.475480000001</v>
      </c>
      <c r="J132" s="118"/>
    </row>
    <row r="133" spans="1:10" ht="15.75" customHeight="1" x14ac:dyDescent="0.3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941.06066999999996</v>
      </c>
      <c r="G133" s="96">
        <f t="shared" ref="G133" si="12">G134+G139+G142</f>
        <v>58608.926379999997</v>
      </c>
      <c r="H133" s="96">
        <f>H134+H139+H142</f>
        <v>22503.073620000003</v>
      </c>
      <c r="I133" s="96">
        <f>I134+I139+I142</f>
        <v>59392.496890000002</v>
      </c>
      <c r="J133" s="122"/>
    </row>
    <row r="134" spans="1:10" ht="14.15" customHeight="1" x14ac:dyDescent="0.3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693.52455999999995</v>
      </c>
      <c r="G134" s="127">
        <f>G135+G136+G138+G137</f>
        <v>45064.632669999999</v>
      </c>
      <c r="H134" s="127">
        <f>H135+H136+H137+H138</f>
        <v>14568.367330000001</v>
      </c>
      <c r="I134" s="127">
        <f>I135+I136+I137+I138</f>
        <v>46720.709329999998</v>
      </c>
      <c r="J134" s="278"/>
    </row>
    <row r="135" spans="1:10" ht="14.15" customHeight="1" x14ac:dyDescent="0.35">
      <c r="A135" s="199"/>
      <c r="B135" s="128"/>
      <c r="C135" s="64" t="s">
        <v>24</v>
      </c>
      <c r="D135" s="65">
        <v>16203</v>
      </c>
      <c r="E135" s="65">
        <v>17538</v>
      </c>
      <c r="F135" s="129">
        <f>179.49373</f>
        <v>179.49373</v>
      </c>
      <c r="G135" s="129">
        <v>8178.9934899999998</v>
      </c>
      <c r="H135" s="129">
        <f>E135-G135</f>
        <v>9359.0065099999993</v>
      </c>
      <c r="I135" s="129">
        <f>7640.75126</f>
        <v>7640.75126</v>
      </c>
      <c r="J135" s="130"/>
    </row>
    <row r="136" spans="1:10" ht="14.15" customHeight="1" x14ac:dyDescent="0.35">
      <c r="A136" s="199"/>
      <c r="B136" s="184"/>
      <c r="C136" s="64" t="s">
        <v>52</v>
      </c>
      <c r="D136" s="65">
        <v>16593</v>
      </c>
      <c r="E136" s="65">
        <v>15118</v>
      </c>
      <c r="F136" s="129">
        <f>185.76885</f>
        <v>185.76884999999999</v>
      </c>
      <c r="G136" s="129">
        <v>13364.637309999998</v>
      </c>
      <c r="H136" s="129">
        <f>E136-G136</f>
        <v>1753.3626900000017</v>
      </c>
      <c r="I136" s="129">
        <f>10649.37975</f>
        <v>10649.37975</v>
      </c>
      <c r="J136" s="131"/>
    </row>
    <row r="137" spans="1:10" ht="14.15" customHeight="1" x14ac:dyDescent="0.35">
      <c r="A137" s="199"/>
      <c r="B137" s="184"/>
      <c r="C137" s="64" t="s">
        <v>53</v>
      </c>
      <c r="D137" s="65">
        <v>15164</v>
      </c>
      <c r="E137" s="65">
        <v>15056</v>
      </c>
      <c r="F137" s="129">
        <f>145.29518</f>
        <v>145.29517999999999</v>
      </c>
      <c r="G137" s="129">
        <v>13111.97458</v>
      </c>
      <c r="H137" s="129">
        <f>E137-G137</f>
        <v>1944.0254199999999</v>
      </c>
      <c r="I137" s="129">
        <f>15073.62383</f>
        <v>15073.62383</v>
      </c>
      <c r="J137" s="131"/>
    </row>
    <row r="138" spans="1:10" ht="14.15" customHeight="1" x14ac:dyDescent="0.35">
      <c r="A138" s="199"/>
      <c r="B138" s="184"/>
      <c r="C138" s="64" t="s">
        <v>27</v>
      </c>
      <c r="D138" s="65">
        <v>13085</v>
      </c>
      <c r="E138" s="65">
        <v>11921</v>
      </c>
      <c r="F138" s="129">
        <f>182.9668</f>
        <v>182.96680000000001</v>
      </c>
      <c r="G138" s="129">
        <v>10409.02729</v>
      </c>
      <c r="H138" s="129">
        <f>E138-G138</f>
        <v>1511.97271</v>
      </c>
      <c r="I138" s="129">
        <f>13356.95449</f>
        <v>13356.95449</v>
      </c>
      <c r="J138" s="131"/>
    </row>
    <row r="139" spans="1:10" ht="14.15" customHeight="1" x14ac:dyDescent="0.3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57.164250000000003</v>
      </c>
      <c r="G139" s="134">
        <f>SUM(G140:G141)</f>
        <v>7072.93966</v>
      </c>
      <c r="H139" s="134">
        <f>H140+H141</f>
        <v>2378.06034</v>
      </c>
      <c r="I139" s="134">
        <f>SUM(I140:I141)</f>
        <v>6322.6315600000007</v>
      </c>
      <c r="J139" s="136"/>
    </row>
    <row r="140" spans="1:10" ht="14.15" customHeight="1" x14ac:dyDescent="0.35">
      <c r="A140" s="1"/>
      <c r="B140" s="252"/>
      <c r="C140" s="64" t="s">
        <v>67</v>
      </c>
      <c r="D140" s="65">
        <v>8232</v>
      </c>
      <c r="E140" s="65">
        <v>8951</v>
      </c>
      <c r="F140" s="129">
        <f>47.14065</f>
        <v>47.140650000000001</v>
      </c>
      <c r="G140" s="129">
        <f>6821.03345</f>
        <v>6821.0334499999999</v>
      </c>
      <c r="H140" s="129">
        <f t="shared" ref="H140:H147" si="13">E140-G140</f>
        <v>2129.9665500000001</v>
      </c>
      <c r="I140" s="129">
        <f>6067.68288</f>
        <v>6067.6828800000003</v>
      </c>
      <c r="J140" s="122"/>
    </row>
    <row r="141" spans="1:10" ht="15" customHeight="1" x14ac:dyDescent="0.35">
      <c r="A141" s="1"/>
      <c r="B141" s="55"/>
      <c r="C141" s="64" t="s">
        <v>68</v>
      </c>
      <c r="D141" s="65">
        <v>500</v>
      </c>
      <c r="E141" s="65">
        <v>500</v>
      </c>
      <c r="F141" s="129">
        <f>10.0236</f>
        <v>10.0236</v>
      </c>
      <c r="G141" s="129">
        <f>251.90621</f>
        <v>251.90620999999999</v>
      </c>
      <c r="H141" s="129">
        <f t="shared" si="13"/>
        <v>248.09379000000001</v>
      </c>
      <c r="I141" s="129">
        <f>254.94868</f>
        <v>254.94868</v>
      </c>
      <c r="J141" s="137"/>
    </row>
    <row r="142" spans="1:10" ht="15.75" customHeight="1" x14ac:dyDescent="0.35">
      <c r="A142" s="1"/>
      <c r="B142" s="252"/>
      <c r="C142" s="38" t="s">
        <v>11</v>
      </c>
      <c r="D142" s="63">
        <v>11114</v>
      </c>
      <c r="E142" s="63">
        <v>12028</v>
      </c>
      <c r="F142" s="77">
        <f>190.37186</f>
        <v>190.37186</v>
      </c>
      <c r="G142" s="77">
        <f>6471.35405</f>
        <v>6471.3540499999999</v>
      </c>
      <c r="H142" s="77">
        <f t="shared" si="13"/>
        <v>5556.6459500000001</v>
      </c>
      <c r="I142" s="77">
        <f>6349.156</f>
        <v>6349.1559999999999</v>
      </c>
      <c r="J142" s="122"/>
    </row>
    <row r="143" spans="1:10" ht="15.75" customHeight="1" x14ac:dyDescent="0.3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31.4675</f>
        <v>31.467500000000001</v>
      </c>
      <c r="H143" s="141">
        <f t="shared" si="13"/>
        <v>105.5325</v>
      </c>
      <c r="I143" s="141">
        <f>24.47327</f>
        <v>24.473269999999999</v>
      </c>
      <c r="J143" s="122"/>
    </row>
    <row r="144" spans="1:10" ht="15.75" customHeight="1" x14ac:dyDescent="0.3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35">
      <c r="A145" s="1"/>
      <c r="B145" s="252"/>
      <c r="C145" s="142" t="s">
        <v>70</v>
      </c>
      <c r="D145" s="145">
        <v>2000</v>
      </c>
      <c r="E145" s="145">
        <v>2000</v>
      </c>
      <c r="F145" s="141">
        <f>4.1942</f>
        <v>4.1942000000000004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3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3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3"/>
        <v>195</v>
      </c>
      <c r="I147" s="141"/>
      <c r="J147" s="122"/>
    </row>
    <row r="148" spans="1:10" ht="15" customHeight="1" x14ac:dyDescent="0.3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3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3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2833.75884</v>
      </c>
      <c r="G150" s="78">
        <f>G128+G132+G133+G143+G144+G145+G146+G147+G148</f>
        <v>156979.91816</v>
      </c>
      <c r="H150" s="78">
        <f>H128+H132+H133+H143+H144+H145+H146+H147+H148</f>
        <v>46706.081840000006</v>
      </c>
      <c r="I150" s="78">
        <f>I128+I132+I133+I143+I144+I145+I146+I147+I148</f>
        <v>150104.58482999998</v>
      </c>
      <c r="J150" s="162"/>
    </row>
    <row r="151" spans="1:10" ht="14.25" customHeight="1" x14ac:dyDescent="0.3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3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35">
      <c r="A153" s="159"/>
      <c r="B153" s="54"/>
      <c r="C153" s="163" t="s">
        <v>148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3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3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3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3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3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3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3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3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3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5" customHeight="1" x14ac:dyDescent="0.3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5" customHeight="1" x14ac:dyDescent="0.3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5" customHeight="1" x14ac:dyDescent="0.3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5" customHeight="1" x14ac:dyDescent="0.3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5" customHeight="1" x14ac:dyDescent="0.3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5" customHeight="1" x14ac:dyDescent="0.3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3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3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3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3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5" customHeight="1" x14ac:dyDescent="0.35">
      <c r="A175" s="1"/>
      <c r="B175" s="252"/>
      <c r="C175" s="143" t="s">
        <v>76</v>
      </c>
      <c r="D175" s="96">
        <v>4988</v>
      </c>
      <c r="E175" s="274">
        <f>14.07615</f>
        <v>14.07615</v>
      </c>
      <c r="F175" s="274">
        <f>1441.67325</f>
        <v>1441.6732500000001</v>
      </c>
      <c r="G175" s="45">
        <f>D175-F175-F176</f>
        <v>1868.9546600000001</v>
      </c>
      <c r="H175" s="274">
        <f>1193.20541</f>
        <v>1193.20541</v>
      </c>
      <c r="I175" s="1"/>
      <c r="J175" s="122"/>
    </row>
    <row r="176" spans="1:10" ht="14.15" customHeight="1" x14ac:dyDescent="0.35">
      <c r="A176" s="1"/>
      <c r="B176" s="252"/>
      <c r="C176" s="139" t="s">
        <v>54</v>
      </c>
      <c r="D176" s="183"/>
      <c r="E176" s="154">
        <f>0</f>
        <v>0</v>
      </c>
      <c r="F176" s="154">
        <f>1677.37209</f>
        <v>1677.3720900000001</v>
      </c>
      <c r="G176" s="215"/>
      <c r="H176" s="154">
        <f>1454.15197</f>
        <v>1454.1519699999999</v>
      </c>
      <c r="I176" s="1"/>
      <c r="J176" s="122"/>
    </row>
    <row r="177" spans="1:10" ht="15.65" customHeight="1" x14ac:dyDescent="0.3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74.67994</f>
        <v>74.679940000000002</v>
      </c>
      <c r="G177" s="174">
        <f>D177-F177</f>
        <v>125.32006</v>
      </c>
      <c r="H177" s="174">
        <f>50.45258</f>
        <v>50.452579999999998</v>
      </c>
      <c r="I177" s="1"/>
      <c r="J177" s="122"/>
    </row>
    <row r="178" spans="1:10" ht="14.15" customHeight="1" x14ac:dyDescent="0.35">
      <c r="A178" s="70"/>
      <c r="B178" s="81"/>
      <c r="C178" s="182" t="s">
        <v>78</v>
      </c>
      <c r="D178" s="183">
        <v>7481</v>
      </c>
      <c r="E178" s="183">
        <f>E179+E180+E181</f>
        <v>34.975809999999996</v>
      </c>
      <c r="F178" s="183">
        <f>F179+F180+F181</f>
        <v>8004.1237200000005</v>
      </c>
      <c r="G178" s="183">
        <f>D178-F178</f>
        <v>-523.1237200000005</v>
      </c>
      <c r="H178" s="183">
        <f>H179+H180+H181</f>
        <v>7645.1117000000004</v>
      </c>
      <c r="I178" s="70"/>
      <c r="J178" s="118"/>
    </row>
    <row r="179" spans="1:10" ht="14.15" customHeight="1" x14ac:dyDescent="0.35">
      <c r="A179" s="199"/>
      <c r="B179" s="184"/>
      <c r="C179" s="185" t="s">
        <v>79</v>
      </c>
      <c r="D179" s="129"/>
      <c r="E179" s="129">
        <f>1.261</f>
        <v>1.2609999999999999</v>
      </c>
      <c r="F179" s="129">
        <f>4157.56919</f>
        <v>4157.5691900000002</v>
      </c>
      <c r="G179" s="129"/>
      <c r="H179" s="129">
        <f>3960.16262</f>
        <v>3960.1626200000001</v>
      </c>
      <c r="I179" s="188"/>
      <c r="J179" s="131"/>
    </row>
    <row r="180" spans="1:10" ht="14.15" customHeight="1" x14ac:dyDescent="0.35">
      <c r="A180" s="199"/>
      <c r="B180" s="184"/>
      <c r="C180" s="185" t="s">
        <v>80</v>
      </c>
      <c r="D180" s="129"/>
      <c r="E180" s="129">
        <f>30.98705</f>
        <v>30.98705</v>
      </c>
      <c r="F180" s="129">
        <f>2454.76688</f>
        <v>2454.7668800000001</v>
      </c>
      <c r="G180" s="129"/>
      <c r="H180" s="129">
        <f>2367.47158</f>
        <v>2367.4715799999999</v>
      </c>
      <c r="I180" s="188"/>
      <c r="J180" s="189"/>
    </row>
    <row r="181" spans="1:10" ht="14.15" customHeight="1" x14ac:dyDescent="0.35">
      <c r="A181" s="199"/>
      <c r="B181" s="184"/>
      <c r="C181" s="191" t="s">
        <v>81</v>
      </c>
      <c r="D181" s="194"/>
      <c r="E181" s="194">
        <f>2.72776</f>
        <v>2.72776</v>
      </c>
      <c r="F181" s="194">
        <f>1391.78765</f>
        <v>1391.78765</v>
      </c>
      <c r="G181" s="194"/>
      <c r="H181" s="194">
        <f>1317.4775</f>
        <v>1317.4775</v>
      </c>
      <c r="I181" s="188"/>
      <c r="J181" s="189"/>
    </row>
    <row r="182" spans="1:10" ht="14.15" customHeight="1" x14ac:dyDescent="0.3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3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99999999999999" customHeight="1" x14ac:dyDescent="0.3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49.051959999999994</v>
      </c>
      <c r="F184" s="196">
        <f>F175+F176+F177+F178+F182+F183</f>
        <v>11197.849</v>
      </c>
      <c r="G184" s="196">
        <f>D184-F184</f>
        <v>1537.1509999999998</v>
      </c>
      <c r="H184" s="196">
        <f>H175+H176+H177+H178+H182+H183</f>
        <v>10342.92166</v>
      </c>
      <c r="I184" s="165"/>
      <c r="J184" s="162"/>
    </row>
    <row r="185" spans="1:10" ht="42" customHeight="1" x14ac:dyDescent="0.3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3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3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3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3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3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3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3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3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3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3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3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3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3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3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3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3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35">
      <c r="A204" s="1"/>
      <c r="B204" s="252"/>
      <c r="C204" s="90" t="s">
        <v>4</v>
      </c>
      <c r="D204" s="124">
        <v>43839</v>
      </c>
      <c r="E204" s="124">
        <f>158.3761</f>
        <v>158.37610000000001</v>
      </c>
      <c r="F204" s="124">
        <f>40417.47902</f>
        <v>40417.479019999999</v>
      </c>
      <c r="G204" s="124">
        <f>D204-F204</f>
        <v>3421.5209800000011</v>
      </c>
      <c r="H204" s="124">
        <f>35318.4376</f>
        <v>35318.437599999997</v>
      </c>
      <c r="I204" s="246"/>
      <c r="J204" s="122"/>
    </row>
    <row r="205" spans="1:10" ht="15" customHeight="1" x14ac:dyDescent="0.35">
      <c r="A205" s="1"/>
      <c r="B205" s="252"/>
      <c r="C205" s="90" t="s">
        <v>68</v>
      </c>
      <c r="D205" s="124">
        <v>100</v>
      </c>
      <c r="E205" s="124">
        <f>4.376</f>
        <v>4.3760000000000003</v>
      </c>
      <c r="F205" s="124">
        <f>63.64475</f>
        <v>63.644750000000002</v>
      </c>
      <c r="G205" s="124">
        <f>D205-F205</f>
        <v>36.355249999999998</v>
      </c>
      <c r="H205" s="124">
        <f>57.37831</f>
        <v>57.378309999999999</v>
      </c>
      <c r="I205" s="246"/>
      <c r="J205" s="122"/>
    </row>
    <row r="206" spans="1:10" ht="15.75" customHeight="1" x14ac:dyDescent="0.3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35">
      <c r="A207" s="1"/>
      <c r="B207" s="252"/>
      <c r="C207" s="179" t="s">
        <v>88</v>
      </c>
      <c r="D207" s="190">
        <f>SUM(D204:D206)</f>
        <v>43981</v>
      </c>
      <c r="E207" s="190">
        <f>SUM(E204:E206)</f>
        <v>162.75210000000001</v>
      </c>
      <c r="F207" s="190">
        <f>SUM(F204:F206)</f>
        <v>40481.123769999998</v>
      </c>
      <c r="G207" s="190">
        <f>D207-F207</f>
        <v>3499.8762300000017</v>
      </c>
      <c r="H207" s="190">
        <f>SUM(H204:H206)</f>
        <v>35375.815909999998</v>
      </c>
      <c r="I207" s="246"/>
      <c r="J207" s="122"/>
    </row>
    <row r="208" spans="1:10" ht="17.149999999999999" customHeight="1" x14ac:dyDescent="0.3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3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3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3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3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35">
      <c r="A249" s="1"/>
      <c r="B249" s="252"/>
      <c r="C249" s="90" t="s">
        <v>8</v>
      </c>
      <c r="D249" s="124"/>
      <c r="E249" s="77">
        <f>30.15384</f>
        <v>30.153839999999999</v>
      </c>
      <c r="F249" s="77">
        <f>3579.77534</f>
        <v>3579.7753400000001</v>
      </c>
      <c r="G249" s="77"/>
      <c r="H249" s="77">
        <f>2426.57075</f>
        <v>2426.5707499999999</v>
      </c>
      <c r="I249" s="246"/>
      <c r="J249" s="122"/>
    </row>
    <row r="250" spans="1:10" ht="15" customHeight="1" x14ac:dyDescent="0.35">
      <c r="A250" s="1"/>
      <c r="B250" s="252"/>
      <c r="C250" s="90" t="s">
        <v>11</v>
      </c>
      <c r="D250" s="124"/>
      <c r="E250" s="77">
        <f>37.62523</f>
        <v>37.625230000000002</v>
      </c>
      <c r="F250" s="77">
        <f>4996.98545</f>
        <v>4996.9854500000001</v>
      </c>
      <c r="G250" s="77"/>
      <c r="H250" s="77">
        <f>4511.93637</f>
        <v>4511.9363700000004</v>
      </c>
      <c r="I250" s="246"/>
      <c r="J250" s="122"/>
    </row>
    <row r="251" spans="1:10" ht="15.75" customHeight="1" x14ac:dyDescent="0.35">
      <c r="A251" s="1"/>
      <c r="B251" s="252"/>
      <c r="C251" s="146" t="s">
        <v>68</v>
      </c>
      <c r="D251" s="168"/>
      <c r="E251" s="124">
        <f>13.19426</f>
        <v>13.19426</v>
      </c>
      <c r="F251" s="124">
        <f>579.69964</f>
        <v>579.69964000000004</v>
      </c>
      <c r="G251" s="168"/>
      <c r="H251" s="124">
        <f>564.63872</f>
        <v>564.63872000000003</v>
      </c>
      <c r="I251" s="246"/>
      <c r="J251" s="122"/>
    </row>
    <row r="252" spans="1:10" ht="16.5" customHeight="1" x14ac:dyDescent="0.35">
      <c r="A252" s="1"/>
      <c r="B252" s="252"/>
      <c r="C252" s="179" t="s">
        <v>88</v>
      </c>
      <c r="D252" s="190">
        <v>10454</v>
      </c>
      <c r="E252" s="190">
        <f>SUM(E249:E251)</f>
        <v>80.973330000000004</v>
      </c>
      <c r="F252" s="190">
        <f>SUM(F249:F251)</f>
        <v>9156.460430000001</v>
      </c>
      <c r="G252" s="190">
        <f>D252-F252</f>
        <v>1297.539569999999</v>
      </c>
      <c r="H252" s="190">
        <f>SUM(H249:H251)</f>
        <v>7503.1458400000001</v>
      </c>
      <c r="I252" s="246"/>
      <c r="J252" s="122"/>
    </row>
    <row r="253" spans="1:10" ht="17.149999999999999" customHeight="1" x14ac:dyDescent="0.3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49999999999999" customHeight="1" x14ac:dyDescent="0.3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3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3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3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3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35">
      <c r="A294" s="1"/>
      <c r="B294" s="252"/>
      <c r="C294" s="90" t="s">
        <v>8</v>
      </c>
      <c r="D294" s="124"/>
      <c r="E294" s="77">
        <f>6.128</f>
        <v>6.1280000000000001</v>
      </c>
      <c r="F294" s="77">
        <f>5444.25981</f>
        <v>5444.2598099999996</v>
      </c>
      <c r="G294" s="77"/>
      <c r="H294" s="77">
        <f>3534.09583</f>
        <v>3534.0958300000002</v>
      </c>
      <c r="I294" s="246"/>
      <c r="J294" s="122"/>
    </row>
    <row r="295" spans="1:10" ht="15" customHeight="1" x14ac:dyDescent="0.35">
      <c r="A295" s="1"/>
      <c r="B295" s="252"/>
      <c r="C295" s="90" t="s">
        <v>11</v>
      </c>
      <c r="D295" s="124"/>
      <c r="E295" s="77">
        <f>33.95037</f>
        <v>33.950369999999999</v>
      </c>
      <c r="F295" s="77">
        <f>3139.09898</f>
        <v>3139.0989800000002</v>
      </c>
      <c r="G295" s="77"/>
      <c r="H295" s="77">
        <f>2700.59862</f>
        <v>2700.5986200000002</v>
      </c>
      <c r="I295" s="246"/>
      <c r="J295" s="122"/>
    </row>
    <row r="296" spans="1:10" ht="15.75" customHeight="1" x14ac:dyDescent="0.35">
      <c r="A296" s="1"/>
      <c r="B296" s="252"/>
      <c r="C296" s="146" t="s">
        <v>68</v>
      </c>
      <c r="D296" s="168"/>
      <c r="E296" s="124">
        <f>0.75896</f>
        <v>0.75895999999999997</v>
      </c>
      <c r="F296" s="124">
        <f>487.19233</f>
        <v>487.19233000000003</v>
      </c>
      <c r="G296" s="168"/>
      <c r="H296" s="124">
        <f>521.50622</f>
        <v>521.50621999999998</v>
      </c>
      <c r="I296" s="246"/>
      <c r="J296" s="122"/>
    </row>
    <row r="297" spans="1:10" ht="16.5" customHeight="1" x14ac:dyDescent="0.35">
      <c r="A297" s="1"/>
      <c r="B297" s="252"/>
      <c r="C297" s="179" t="s">
        <v>88</v>
      </c>
      <c r="D297" s="190">
        <v>8076</v>
      </c>
      <c r="E297" s="190">
        <f>SUM(E294:E296)</f>
        <v>40.837330000000001</v>
      </c>
      <c r="F297" s="190">
        <f>SUM(F294:F296)</f>
        <v>9070.5511200000001</v>
      </c>
      <c r="G297" s="190">
        <f>D297-F297</f>
        <v>-994.55112000000008</v>
      </c>
      <c r="H297" s="190">
        <f>SUM(H294:H296)</f>
        <v>6756.2006700000011</v>
      </c>
      <c r="I297" s="246"/>
      <c r="J297" s="122"/>
    </row>
    <row r="298" spans="1:10" ht="17.149999999999999" customHeight="1" x14ac:dyDescent="0.3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49999999999999" customHeight="1" x14ac:dyDescent="0.3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3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3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5" customHeight="1" x14ac:dyDescent="0.3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5" customHeight="1" x14ac:dyDescent="0.3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5" customHeight="1" x14ac:dyDescent="0.3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5" customHeight="1" x14ac:dyDescent="0.3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5" customHeight="1" x14ac:dyDescent="0.3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3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3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5" customHeight="1" x14ac:dyDescent="0.3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3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3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3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5" customHeight="1" x14ac:dyDescent="0.3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3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5" customHeight="1" x14ac:dyDescent="0.35">
      <c r="A348" s="70"/>
      <c r="B348" s="81"/>
      <c r="C348" s="90" t="s">
        <v>96</v>
      </c>
      <c r="D348" s="124">
        <v>800</v>
      </c>
      <c r="E348" s="124">
        <f>8.96267</f>
        <v>8.9626699999999992</v>
      </c>
      <c r="F348" s="124">
        <f>516.56133</f>
        <v>516.56133</v>
      </c>
      <c r="G348" s="124">
        <f>D348-F348</f>
        <v>283.43867</v>
      </c>
      <c r="H348" s="124">
        <f>295.243</f>
        <v>295.24299999999999</v>
      </c>
      <c r="I348" s="70"/>
      <c r="J348" s="242"/>
    </row>
    <row r="349" spans="1:10" ht="14.15" customHeight="1" x14ac:dyDescent="0.35">
      <c r="A349" s="1"/>
      <c r="B349" s="252"/>
      <c r="C349" s="90" t="s">
        <v>97</v>
      </c>
      <c r="D349" s="244">
        <v>2494</v>
      </c>
      <c r="E349" s="124">
        <f>49.98427</f>
        <v>49.984270000000002</v>
      </c>
      <c r="F349" s="124">
        <f>2502.36677</f>
        <v>2502.3667700000001</v>
      </c>
      <c r="G349" s="124">
        <f>D349-F349</f>
        <v>-8.3667700000000877</v>
      </c>
      <c r="H349" s="124">
        <f>1531.41112</f>
        <v>1531.41112</v>
      </c>
      <c r="I349" s="181"/>
      <c r="J349" s="118"/>
    </row>
    <row r="350" spans="1:10" ht="16.5" customHeight="1" x14ac:dyDescent="0.3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0.9582</f>
        <v>0.95820000000000005</v>
      </c>
      <c r="I350" s="70"/>
      <c r="J350" s="247"/>
    </row>
    <row r="351" spans="1:10" ht="18.75" customHeight="1" x14ac:dyDescent="0.35">
      <c r="A351" s="70"/>
      <c r="B351" s="248"/>
      <c r="C351" s="146" t="s">
        <v>98</v>
      </c>
      <c r="D351" s="220"/>
      <c r="E351" s="168">
        <f>0</f>
        <v>0</v>
      </c>
      <c r="F351" s="168">
        <f>1.7076</f>
        <v>1.7076</v>
      </c>
      <c r="G351" s="124"/>
      <c r="H351" s="168">
        <f>6.81196</f>
        <v>6.81196</v>
      </c>
      <c r="I351" s="282"/>
      <c r="J351" s="122"/>
    </row>
    <row r="352" spans="1:10" ht="14.15" customHeight="1" x14ac:dyDescent="0.35">
      <c r="A352" s="1"/>
      <c r="B352" s="252"/>
      <c r="C352" s="179" t="s">
        <v>88</v>
      </c>
      <c r="D352" s="6">
        <f>D337</f>
        <v>3299</v>
      </c>
      <c r="E352" s="190">
        <f>SUM(E348:E351)</f>
        <v>58.946939999999998</v>
      </c>
      <c r="F352" s="190">
        <f>SUM(F348:F351)</f>
        <v>3023.37444</v>
      </c>
      <c r="G352" s="190">
        <f>D352-F352</f>
        <v>275.62555999999995</v>
      </c>
      <c r="H352" s="190">
        <f>H348+H349+H350+H351</f>
        <v>1834.42428</v>
      </c>
      <c r="I352" s="1"/>
      <c r="J352" s="122"/>
    </row>
    <row r="353" spans="1:10" ht="14.15" customHeight="1" x14ac:dyDescent="0.3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5" customHeight="1" x14ac:dyDescent="0.3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5" customHeight="1" x14ac:dyDescent="0.35">
      <c r="A355" s="1"/>
      <c r="C355" s="152" t="s">
        <v>119</v>
      </c>
    </row>
    <row r="356" spans="1:10" ht="14.15" customHeight="1" x14ac:dyDescent="0.35">
      <c r="A356" s="1" t="s">
        <v>119</v>
      </c>
    </row>
    <row r="357" spans="1:10" ht="14.15" customHeight="1" x14ac:dyDescent="0.35">
      <c r="A357" s="1" t="s">
        <v>119</v>
      </c>
    </row>
    <row r="358" spans="1:10" ht="14.15" customHeight="1" x14ac:dyDescent="0.35">
      <c r="A358" s="1"/>
      <c r="C358" s="152" t="s">
        <v>119</v>
      </c>
    </row>
    <row r="359" spans="1:10" ht="36" customHeight="1" x14ac:dyDescent="0.35">
      <c r="A359" s="1"/>
      <c r="C359" s="152" t="s">
        <v>119</v>
      </c>
    </row>
    <row r="360" spans="1:10" ht="14.15" customHeight="1" x14ac:dyDescent="0.35">
      <c r="A360" s="1"/>
      <c r="C360" s="152" t="s">
        <v>119</v>
      </c>
    </row>
    <row r="361" spans="1:10" ht="14.15" customHeight="1" x14ac:dyDescent="0.35">
      <c r="A361" s="1"/>
      <c r="C361" s="152" t="s">
        <v>119</v>
      </c>
    </row>
    <row r="362" spans="1:10" ht="30" customHeight="1" x14ac:dyDescent="0.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49999999999999" customHeight="1" x14ac:dyDescent="0.3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3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3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3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3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3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5" customHeight="1" x14ac:dyDescent="0.3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5" customHeight="1" x14ac:dyDescent="0.3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4" customHeight="1" x14ac:dyDescent="0.3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4" customHeight="1" x14ac:dyDescent="0.3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3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3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3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3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3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5" customHeight="1" x14ac:dyDescent="0.3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876.3738800000001</v>
      </c>
      <c r="G378" s="251">
        <f t="shared" si="15"/>
        <v>14955.5903</v>
      </c>
      <c r="H378" s="251">
        <f>H382+H381+H380+H379</f>
        <v>1146.4096999999997</v>
      </c>
      <c r="I378" s="251">
        <f t="shared" si="15"/>
        <v>6347.4052599999995</v>
      </c>
      <c r="J378" s="132"/>
    </row>
    <row r="379" spans="1:10" ht="14.15" customHeight="1" x14ac:dyDescent="0.35">
      <c r="A379" s="216"/>
      <c r="B379" s="74"/>
      <c r="C379" s="253" t="s">
        <v>107</v>
      </c>
      <c r="D379" s="254">
        <v>6472</v>
      </c>
      <c r="E379" s="254">
        <v>8177</v>
      </c>
      <c r="F379" s="255">
        <f>807.85296</f>
        <v>807.85296000000005</v>
      </c>
      <c r="G379" s="255">
        <f>8957.87751</f>
        <v>8957.8775100000003</v>
      </c>
      <c r="H379" s="255">
        <f t="shared" ref="H379:H383" si="16">E379-G379</f>
        <v>-780.87751000000026</v>
      </c>
      <c r="I379" s="255">
        <f>3647.88627</f>
        <v>3647.88627</v>
      </c>
      <c r="J379" s="132"/>
    </row>
    <row r="380" spans="1:10" ht="14.15" customHeight="1" x14ac:dyDescent="0.3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1408.0095</f>
        <v>1408.0094999999999</v>
      </c>
      <c r="H380" s="255">
        <f t="shared" si="16"/>
        <v>719.99050000000011</v>
      </c>
      <c r="I380" s="255">
        <f>490.4118</f>
        <v>490.41180000000003</v>
      </c>
      <c r="J380" s="132"/>
    </row>
    <row r="381" spans="1:10" ht="14.15" customHeight="1" x14ac:dyDescent="0.35">
      <c r="A381" s="216"/>
      <c r="B381" s="74"/>
      <c r="C381" s="258" t="s">
        <v>103</v>
      </c>
      <c r="D381" s="254">
        <v>1313</v>
      </c>
      <c r="E381" s="254">
        <v>1357</v>
      </c>
      <c r="F381" s="255">
        <f>30.87312</f>
        <v>30.87312</v>
      </c>
      <c r="G381" s="255">
        <f>1760.78299</f>
        <v>1760.7829899999999</v>
      </c>
      <c r="H381" s="255">
        <f t="shared" si="16"/>
        <v>-403.78298999999993</v>
      </c>
      <c r="I381" s="255">
        <f>1411.47559</f>
        <v>1411.47559</v>
      </c>
      <c r="J381" s="132"/>
    </row>
    <row r="382" spans="1:10" ht="14.15" customHeight="1" x14ac:dyDescent="0.35">
      <c r="A382" s="216"/>
      <c r="B382" s="74"/>
      <c r="C382" s="260" t="s">
        <v>108</v>
      </c>
      <c r="D382" s="261">
        <v>4296</v>
      </c>
      <c r="E382" s="261">
        <v>4440</v>
      </c>
      <c r="F382" s="255">
        <f>37.6478</f>
        <v>37.647799999999997</v>
      </c>
      <c r="G382" s="255">
        <f>2828.9203</f>
        <v>2828.9203000000002</v>
      </c>
      <c r="H382" s="255">
        <f t="shared" si="16"/>
        <v>1611.0796999999998</v>
      </c>
      <c r="I382" s="255">
        <f>797.6316</f>
        <v>797.63160000000005</v>
      </c>
      <c r="J382" s="132"/>
    </row>
    <row r="383" spans="1:10" ht="14.15" customHeight="1" x14ac:dyDescent="0.35">
      <c r="A383" s="216"/>
      <c r="B383" s="74"/>
      <c r="C383" s="263" t="s">
        <v>60</v>
      </c>
      <c r="D383" s="264">
        <v>5500</v>
      </c>
      <c r="E383" s="264">
        <v>5500</v>
      </c>
      <c r="F383" s="266">
        <f>0</f>
        <v>0</v>
      </c>
      <c r="G383" s="266">
        <f>5108.15528</f>
        <v>5108.1552799999999</v>
      </c>
      <c r="H383" s="266">
        <f t="shared" si="16"/>
        <v>391.84472000000005</v>
      </c>
      <c r="I383" s="266">
        <f>4547.96068</f>
        <v>4547.9606800000001</v>
      </c>
      <c r="J383" s="132"/>
    </row>
    <row r="384" spans="1:10" ht="14.15" customHeight="1" x14ac:dyDescent="0.3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106.0472</v>
      </c>
      <c r="G384" s="267">
        <f>G386+G385</f>
        <v>3700.7195200000001</v>
      </c>
      <c r="H384" s="267">
        <f>E384-G384</f>
        <v>4299.2804799999994</v>
      </c>
      <c r="I384" s="267">
        <f>I386+I385</f>
        <v>3779.8151699999999</v>
      </c>
      <c r="J384" s="132"/>
    </row>
    <row r="385" spans="1:10" ht="14.15" customHeight="1" x14ac:dyDescent="0.35">
      <c r="A385" s="216"/>
      <c r="B385" s="74"/>
      <c r="C385" s="258" t="s">
        <v>54</v>
      </c>
      <c r="D385" s="269"/>
      <c r="E385" s="254"/>
      <c r="F385" s="255">
        <f>0.0648</f>
        <v>6.4799999999999996E-2</v>
      </c>
      <c r="G385" s="255">
        <f>858.87485</f>
        <v>858.87485000000004</v>
      </c>
      <c r="H385" s="255"/>
      <c r="I385" s="255">
        <f>1144.54655</f>
        <v>1144.54655</v>
      </c>
      <c r="J385" s="132"/>
    </row>
    <row r="386" spans="1:10" ht="14.15" customHeight="1" x14ac:dyDescent="0.35">
      <c r="A386" s="216"/>
      <c r="B386" s="74"/>
      <c r="C386" s="271" t="s">
        <v>109</v>
      </c>
      <c r="D386" s="272"/>
      <c r="E386" s="275"/>
      <c r="F386" s="276">
        <f>105.9824</f>
        <v>105.9824</v>
      </c>
      <c r="G386" s="276">
        <f>2841.84467</f>
        <v>2841.84467</v>
      </c>
      <c r="H386" s="276"/>
      <c r="I386" s="276">
        <f>2635.26862</f>
        <v>2635.2686199999998</v>
      </c>
      <c r="J386" s="132"/>
    </row>
    <row r="387" spans="1:10" ht="14.15" customHeight="1" x14ac:dyDescent="0.3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0.39555</f>
        <v>0.39555000000000001</v>
      </c>
      <c r="J387" s="132"/>
    </row>
    <row r="388" spans="1:10" ht="14.15" customHeight="1" x14ac:dyDescent="0.35">
      <c r="A388" s="216"/>
      <c r="B388" s="74"/>
      <c r="C388" s="277" t="s">
        <v>110</v>
      </c>
      <c r="D388" s="280"/>
      <c r="E388" s="281"/>
      <c r="F388" s="266">
        <f>0.18588</f>
        <v>0.18587999999999999</v>
      </c>
      <c r="G388" s="266">
        <f>115.98614</f>
        <v>115.98614000000001</v>
      </c>
      <c r="H388" s="266">
        <f>E388-G388</f>
        <v>-115.98614000000001</v>
      </c>
      <c r="I388" s="266">
        <f>232.35516</f>
        <v>232.35516000000001</v>
      </c>
      <c r="J388" s="132"/>
    </row>
    <row r="389" spans="1:10" ht="19.5" customHeight="1" x14ac:dyDescent="0.3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982.60696000000007</v>
      </c>
      <c r="G389" s="285">
        <f t="shared" si="17"/>
        <v>23880.524739999997</v>
      </c>
      <c r="H389" s="285">
        <f>H378+H383+H384+H387+H388</f>
        <v>5731.4752599999983</v>
      </c>
      <c r="I389" s="285">
        <f t="shared" si="17"/>
        <v>14907.931819999998</v>
      </c>
      <c r="J389" s="132"/>
    </row>
    <row r="390" spans="1:10" ht="14.15" customHeight="1" x14ac:dyDescent="0.3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5" customHeight="1" x14ac:dyDescent="0.3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5" customHeight="1" x14ac:dyDescent="0.3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3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3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3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5" customHeight="1" x14ac:dyDescent="0.35">
      <c r="A396" s="216"/>
      <c r="C396" s="152" t="s">
        <v>119</v>
      </c>
      <c r="D396" s="159"/>
    </row>
    <row r="397" spans="1:10" ht="14.15" customHeight="1" x14ac:dyDescent="0.3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5" customHeight="1" x14ac:dyDescent="0.3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5" customHeight="1" x14ac:dyDescent="0.3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5" customHeight="1" x14ac:dyDescent="0.3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5" customHeight="1" x14ac:dyDescent="0.3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5" customHeight="1" x14ac:dyDescent="0.3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5" customHeight="1" x14ac:dyDescent="0.3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5" customHeight="1" x14ac:dyDescent="0.3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5" customHeight="1" x14ac:dyDescent="0.3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5" customHeight="1" x14ac:dyDescent="0.3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5" customHeight="1" x14ac:dyDescent="0.3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5" customHeight="1" x14ac:dyDescent="0.3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3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3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5" customHeight="1" x14ac:dyDescent="0.3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5" customHeight="1" x14ac:dyDescent="0.3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5" customHeight="1" x14ac:dyDescent="0.3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5" customHeight="1" x14ac:dyDescent="0.35">
      <c r="A414" s="216"/>
      <c r="B414" s="74"/>
      <c r="C414" s="263" t="s">
        <v>117</v>
      </c>
      <c r="D414" s="10"/>
      <c r="E414" s="26">
        <f>SUM(E415:E416)</f>
        <v>0</v>
      </c>
      <c r="F414" s="26">
        <f>SUM(F415:F416)</f>
        <v>1463.1168499999999</v>
      </c>
      <c r="G414" s="87"/>
      <c r="H414" s="26">
        <f>SUM(H415:H416)</f>
        <v>1811.0628700000002</v>
      </c>
      <c r="I414" s="27"/>
      <c r="J414" s="132"/>
    </row>
    <row r="415" spans="1:10" ht="14.15" customHeight="1" x14ac:dyDescent="0.35">
      <c r="A415" s="216"/>
      <c r="B415" s="74"/>
      <c r="C415" s="29" t="s">
        <v>8</v>
      </c>
      <c r="D415" s="44"/>
      <c r="E415" s="30">
        <f>0</f>
        <v>0</v>
      </c>
      <c r="F415" s="30">
        <f>1123.27877</f>
        <v>1123.2787699999999</v>
      </c>
      <c r="G415" s="99"/>
      <c r="H415" s="30">
        <f>1413.4299</f>
        <v>1413.4299000000001</v>
      </c>
      <c r="I415" s="152"/>
      <c r="J415" s="132"/>
    </row>
    <row r="416" spans="1:10" ht="14.15" customHeight="1" x14ac:dyDescent="0.35">
      <c r="A416" s="216"/>
      <c r="B416" s="74"/>
      <c r="C416" s="29" t="s">
        <v>11</v>
      </c>
      <c r="D416" s="219"/>
      <c r="E416" s="30">
        <f>0</f>
        <v>0</v>
      </c>
      <c r="F416" s="30">
        <f>339.83808</f>
        <v>339.83807999999999</v>
      </c>
      <c r="G416" s="110"/>
      <c r="H416" s="30">
        <f>397.63297</f>
        <v>397.63297</v>
      </c>
      <c r="I416" s="152"/>
      <c r="J416" s="132"/>
    </row>
    <row r="417" spans="1:10" ht="14.15" customHeight="1" x14ac:dyDescent="0.35">
      <c r="A417" s="216"/>
      <c r="B417" s="74"/>
      <c r="C417" s="263" t="s">
        <v>118</v>
      </c>
      <c r="D417" s="10"/>
      <c r="E417" s="36">
        <f>SUM(E418:E419)</f>
        <v>19.452000000000002</v>
      </c>
      <c r="F417" s="36">
        <f>SUM(F418:F419)</f>
        <v>123.23049</v>
      </c>
      <c r="G417" s="87"/>
      <c r="H417" s="36">
        <f>SUM(H418:H419)</f>
        <v>349.10072000000002</v>
      </c>
      <c r="I417" s="152"/>
      <c r="J417" s="132"/>
    </row>
    <row r="418" spans="1:10" ht="14.15" customHeight="1" x14ac:dyDescent="0.35">
      <c r="A418" s="216"/>
      <c r="B418" s="74"/>
      <c r="C418" s="29" t="s">
        <v>8</v>
      </c>
      <c r="D418" s="44"/>
      <c r="E418" s="30">
        <f>14.7985</f>
        <v>14.798500000000001</v>
      </c>
      <c r="F418" s="30">
        <f>95.17348</f>
        <v>95.173479999999998</v>
      </c>
      <c r="G418" s="99"/>
      <c r="H418" s="30">
        <f>283.87698</f>
        <v>283.87698</v>
      </c>
      <c r="I418" s="152"/>
      <c r="J418" s="132"/>
    </row>
    <row r="419" spans="1:10" ht="14.15" customHeight="1" x14ac:dyDescent="0.35">
      <c r="A419" s="216"/>
      <c r="B419" s="74"/>
      <c r="C419" s="29" t="s">
        <v>11</v>
      </c>
      <c r="D419" s="219"/>
      <c r="E419" s="30">
        <f>4.6535</f>
        <v>4.6535000000000002</v>
      </c>
      <c r="F419" s="30">
        <f>28.05701</f>
        <v>28.057009999999998</v>
      </c>
      <c r="G419" s="110"/>
      <c r="H419" s="30">
        <f>65.22374</f>
        <v>65.223740000000006</v>
      </c>
      <c r="I419" s="152"/>
      <c r="J419" s="132"/>
    </row>
    <row r="420" spans="1:10" ht="14.15" customHeight="1" x14ac:dyDescent="0.3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5" customHeight="1" x14ac:dyDescent="0.35">
      <c r="A421" s="216"/>
      <c r="B421" s="74"/>
      <c r="C421" s="283" t="s">
        <v>88</v>
      </c>
      <c r="D421" s="41"/>
      <c r="E421" s="42">
        <f>E411+E414+E417+E420</f>
        <v>19.452000000000002</v>
      </c>
      <c r="F421" s="42">
        <f>F411+F414+F417+F420</f>
        <v>3783.0944699999995</v>
      </c>
      <c r="G421" s="43"/>
      <c r="H421" s="42">
        <f>H411+H414+H417+H420</f>
        <v>3547.79592</v>
      </c>
      <c r="I421" s="27"/>
      <c r="J421" s="132"/>
    </row>
    <row r="422" spans="1:10" ht="18.75" customHeight="1" x14ac:dyDescent="0.3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5" customHeight="1" x14ac:dyDescent="0.3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35"/>
    <row r="425" spans="1:10" ht="0" hidden="1" customHeight="1" x14ac:dyDescent="0.35"/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16.5" customHeight="1" x14ac:dyDescent="0.3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38&amp;R26.09.2023</oddHeader>
    <oddFooter>&amp;LFiskeridirektoratet&amp;CSeksjon fiskeriregulering&amp;RAlejandro Maldonado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2023-09-26T12:59:42Z</dcterms:modified>
</cp:coreProperties>
</file>