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FE6F039B-AD97-431E-8F39-394301EF96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6" i="1" s="1"/>
  <c r="G119" i="1"/>
  <c r="H119" i="1" s="1"/>
  <c r="G125" i="1"/>
  <c r="H125" i="1" s="1"/>
  <c r="G124" i="1"/>
  <c r="H124" i="1" s="1"/>
  <c r="G123" i="1"/>
  <c r="H123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G303" i="1"/>
  <c r="F303" i="1"/>
  <c r="E303" i="1"/>
  <c r="H302" i="1"/>
  <c r="F302" i="1"/>
  <c r="E302" i="1"/>
  <c r="H301" i="1"/>
  <c r="F301" i="1"/>
  <c r="E301" i="1"/>
  <c r="E300" i="1" s="1"/>
  <c r="E304" i="1" s="1"/>
  <c r="H300" i="1"/>
  <c r="F300" i="1"/>
  <c r="G300" i="1" s="1"/>
  <c r="H299" i="1"/>
  <c r="F299" i="1"/>
  <c r="E299" i="1"/>
  <c r="H298" i="1"/>
  <c r="H297" i="1" s="1"/>
  <c r="F298" i="1"/>
  <c r="E298" i="1"/>
  <c r="F297" i="1"/>
  <c r="G297" i="1" s="1"/>
  <c r="E297" i="1"/>
  <c r="H296" i="1"/>
  <c r="F296" i="1"/>
  <c r="E296" i="1"/>
  <c r="H295" i="1"/>
  <c r="F295" i="1"/>
  <c r="F294" i="1" s="1"/>
  <c r="E295" i="1"/>
  <c r="H294" i="1"/>
  <c r="E294" i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G266" i="1"/>
  <c r="H266" i="1" s="1"/>
  <c r="F266" i="1"/>
  <c r="I265" i="1"/>
  <c r="G265" i="1"/>
  <c r="H265" i="1" s="1"/>
  <c r="F265" i="1"/>
  <c r="I264" i="1"/>
  <c r="G264" i="1"/>
  <c r="H264" i="1" s="1"/>
  <c r="F264" i="1"/>
  <c r="F262" i="1" s="1"/>
  <c r="F273" i="1" s="1"/>
  <c r="I263" i="1"/>
  <c r="G263" i="1"/>
  <c r="G262" i="1" s="1"/>
  <c r="F263" i="1"/>
  <c r="I262" i="1"/>
  <c r="I273" i="1" s="1"/>
  <c r="E262" i="1"/>
  <c r="D262" i="1"/>
  <c r="H254" i="1"/>
  <c r="F254" i="1"/>
  <c r="D251" i="1"/>
  <c r="D250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G241" i="1" s="1"/>
  <c r="E237" i="1"/>
  <c r="E241" i="1" s="1"/>
  <c r="D230" i="1"/>
  <c r="H219" i="1"/>
  <c r="D219" i="1"/>
  <c r="H218" i="1"/>
  <c r="F218" i="1"/>
  <c r="G218" i="1" s="1"/>
  <c r="E218" i="1"/>
  <c r="H217" i="1"/>
  <c r="F217" i="1"/>
  <c r="E217" i="1"/>
  <c r="E215" i="1" s="1"/>
  <c r="E219" i="1" s="1"/>
  <c r="H216" i="1"/>
  <c r="F216" i="1"/>
  <c r="F215" i="1" s="1"/>
  <c r="E216" i="1"/>
  <c r="H215" i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F202" i="1" s="1"/>
  <c r="E203" i="1"/>
  <c r="E202" i="1"/>
  <c r="E206" i="1" s="1"/>
  <c r="G192" i="1"/>
  <c r="H192" i="1" s="1"/>
  <c r="E192" i="1"/>
  <c r="D192" i="1"/>
  <c r="I191" i="1"/>
  <c r="H191" i="1"/>
  <c r="G191" i="1"/>
  <c r="F191" i="1"/>
  <c r="I190" i="1"/>
  <c r="I192" i="1" s="1"/>
  <c r="G190" i="1"/>
  <c r="H190" i="1" s="1"/>
  <c r="F190" i="1"/>
  <c r="I189" i="1"/>
  <c r="H189" i="1"/>
  <c r="G189" i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H169" i="1" s="1"/>
  <c r="F164" i="1"/>
  <c r="E164" i="1"/>
  <c r="E163" i="1" s="1"/>
  <c r="F163" i="1"/>
  <c r="G163" i="1" s="1"/>
  <c r="H162" i="1"/>
  <c r="G162" i="1"/>
  <c r="F162" i="1"/>
  <c r="E162" i="1"/>
  <c r="H161" i="1"/>
  <c r="F161" i="1"/>
  <c r="E161" i="1"/>
  <c r="E169" i="1" s="1"/>
  <c r="H160" i="1"/>
  <c r="F160" i="1"/>
  <c r="F169" i="1" s="1"/>
  <c r="E160" i="1"/>
  <c r="I135" i="1"/>
  <c r="G135" i="1"/>
  <c r="H135" i="1" s="1"/>
  <c r="F135" i="1"/>
  <c r="I134" i="1"/>
  <c r="H134" i="1"/>
  <c r="G134" i="1"/>
  <c r="F134" i="1"/>
  <c r="H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H128" i="1"/>
  <c r="G128" i="1"/>
  <c r="F128" i="1"/>
  <c r="I127" i="1"/>
  <c r="I126" i="1" s="1"/>
  <c r="G127" i="1"/>
  <c r="H127" i="1" s="1"/>
  <c r="H126" i="1" s="1"/>
  <c r="F127" i="1"/>
  <c r="F126" i="1" s="1"/>
  <c r="F120" i="1" s="1"/>
  <c r="G126" i="1"/>
  <c r="E126" i="1"/>
  <c r="D126" i="1"/>
  <c r="I125" i="1"/>
  <c r="F125" i="1"/>
  <c r="I124" i="1"/>
  <c r="F124" i="1"/>
  <c r="I123" i="1"/>
  <c r="F123" i="1"/>
  <c r="I122" i="1"/>
  <c r="I121" i="1" s="1"/>
  <c r="G122" i="1"/>
  <c r="F122" i="1"/>
  <c r="F121" i="1"/>
  <c r="E121" i="1"/>
  <c r="E120" i="1" s="1"/>
  <c r="D121" i="1"/>
  <c r="D120" i="1" s="1"/>
  <c r="I119" i="1"/>
  <c r="F119" i="1"/>
  <c r="I118" i="1"/>
  <c r="H118" i="1"/>
  <c r="G118" i="1"/>
  <c r="F118" i="1"/>
  <c r="I117" i="1"/>
  <c r="G117" i="1"/>
  <c r="H117" i="1" s="1"/>
  <c r="F117" i="1"/>
  <c r="I116" i="1"/>
  <c r="H116" i="1"/>
  <c r="H115" i="1" s="1"/>
  <c r="G116" i="1"/>
  <c r="F116" i="1"/>
  <c r="F115" i="1" s="1"/>
  <c r="I115" i="1"/>
  <c r="G115" i="1"/>
  <c r="E115" i="1"/>
  <c r="E137" i="1" s="1"/>
  <c r="D115" i="1"/>
  <c r="D137" i="1" s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I83" i="1" s="1"/>
  <c r="I82" i="1" s="1"/>
  <c r="G85" i="1"/>
  <c r="H85" i="1" s="1"/>
  <c r="F85" i="1"/>
  <c r="I84" i="1"/>
  <c r="H84" i="1"/>
  <c r="H83" i="1" s="1"/>
  <c r="H82" i="1" s="1"/>
  <c r="G84" i="1"/>
  <c r="F84" i="1"/>
  <c r="G83" i="1"/>
  <c r="F83" i="1"/>
  <c r="F82" i="1" s="1"/>
  <c r="E83" i="1"/>
  <c r="E82" i="1" s="1"/>
  <c r="D83" i="1"/>
  <c r="D82" i="1" s="1"/>
  <c r="G82" i="1"/>
  <c r="I81" i="1"/>
  <c r="I79" i="1" s="1"/>
  <c r="I94" i="1" s="1"/>
  <c r="H81" i="1"/>
  <c r="G81" i="1"/>
  <c r="F81" i="1"/>
  <c r="I80" i="1"/>
  <c r="G80" i="1"/>
  <c r="G79" i="1" s="1"/>
  <c r="G94" i="1" s="1"/>
  <c r="F80" i="1"/>
  <c r="F79" i="1" s="1"/>
  <c r="F94" i="1" s="1"/>
  <c r="E79" i="1"/>
  <c r="D79" i="1"/>
  <c r="D94" i="1" s="1"/>
  <c r="C76" i="1"/>
  <c r="H72" i="1"/>
  <c r="F72" i="1"/>
  <c r="D72" i="1"/>
  <c r="H58" i="1"/>
  <c r="H57" i="1"/>
  <c r="I52" i="1"/>
  <c r="I31" i="1" s="1"/>
  <c r="I26" i="1" s="1"/>
  <c r="G52" i="1"/>
  <c r="H52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H34" i="1" s="1"/>
  <c r="F34" i="1"/>
  <c r="I33" i="1"/>
  <c r="F33" i="1"/>
  <c r="F25" i="1" s="1"/>
  <c r="E33" i="1"/>
  <c r="D33" i="1"/>
  <c r="I32" i="1"/>
  <c r="G32" i="1"/>
  <c r="H32" i="1" s="1"/>
  <c r="F32" i="1"/>
  <c r="H31" i="1"/>
  <c r="G31" i="1"/>
  <c r="F31" i="1"/>
  <c r="I30" i="1"/>
  <c r="G30" i="1"/>
  <c r="H30" i="1" s="1"/>
  <c r="F30" i="1"/>
  <c r="I29" i="1"/>
  <c r="H29" i="1"/>
  <c r="F29" i="1"/>
  <c r="I28" i="1"/>
  <c r="G28" i="1"/>
  <c r="H28" i="1" s="1"/>
  <c r="F28" i="1"/>
  <c r="I27" i="1"/>
  <c r="H27" i="1"/>
  <c r="G27" i="1"/>
  <c r="F27" i="1"/>
  <c r="F26" i="1"/>
  <c r="E26" i="1"/>
  <c r="E25" i="1" s="1"/>
  <c r="D26" i="1"/>
  <c r="D25" i="1" s="1"/>
  <c r="I24" i="1"/>
  <c r="H24" i="1"/>
  <c r="G24" i="1"/>
  <c r="F24" i="1"/>
  <c r="I23" i="1"/>
  <c r="I22" i="1" s="1"/>
  <c r="G23" i="1"/>
  <c r="G22" i="1" s="1"/>
  <c r="F23" i="1"/>
  <c r="F22" i="1" s="1"/>
  <c r="F42" i="1" s="1"/>
  <c r="E22" i="1"/>
  <c r="E42" i="1" s="1"/>
  <c r="D22" i="1"/>
  <c r="D42" i="1" s="1"/>
  <c r="H16" i="1"/>
  <c r="F16" i="1"/>
  <c r="D16" i="1"/>
  <c r="H26" i="1" l="1"/>
  <c r="G121" i="1"/>
  <c r="G120" i="1" s="1"/>
  <c r="G137" i="1" s="1"/>
  <c r="I25" i="1"/>
  <c r="E94" i="1"/>
  <c r="I120" i="1"/>
  <c r="I137" i="1" s="1"/>
  <c r="F219" i="1"/>
  <c r="G219" i="1" s="1"/>
  <c r="G215" i="1"/>
  <c r="G202" i="1"/>
  <c r="F206" i="1"/>
  <c r="G206" i="1" s="1"/>
  <c r="G273" i="1"/>
  <c r="H304" i="1"/>
  <c r="F137" i="1"/>
  <c r="H262" i="1"/>
  <c r="H273" i="1" s="1"/>
  <c r="I42" i="1"/>
  <c r="G169" i="1"/>
  <c r="F304" i="1"/>
  <c r="G304" i="1" s="1"/>
  <c r="G294" i="1"/>
  <c r="G33" i="1"/>
  <c r="H122" i="1"/>
  <c r="H121" i="1" s="1"/>
  <c r="H120" i="1" s="1"/>
  <c r="H137" i="1" s="1"/>
  <c r="H263" i="1"/>
  <c r="G323" i="1"/>
  <c r="G324" i="1" s="1"/>
  <c r="H23" i="1"/>
  <c r="H22" i="1" s="1"/>
  <c r="H80" i="1"/>
  <c r="H79" i="1" s="1"/>
  <c r="H94" i="1" s="1"/>
  <c r="G237" i="1"/>
  <c r="G160" i="1"/>
  <c r="G25" i="1" l="1"/>
  <c r="G42" i="1" s="1"/>
  <c r="H33" i="1"/>
  <c r="H25" i="1" s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<sst xmlns="http://schemas.openxmlformats.org/spreadsheetml/2006/main" count="393" uniqueCount="167">
  <si>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</si>
  <si>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</si>
  <si>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</si>
  <si>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</si>
  <si>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</si>
  <si>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</si>
  <si>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</si>
  <si>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</si>
  <si>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</si>
  <si>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</si>
  <si>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</si>
  <si>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</si>
  <si>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</si>
  <si>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</si>
  <si>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</si>
  <si>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</si>
  <si>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</si>
  <si>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</si>
  <si>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</si>
  <si>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</si>
  <si>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</si>
  <si>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</si>
  <si>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</si>
  <si>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</si>
  <si>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</si>
  <si>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</si>
  <si>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</si>
  <si>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</si>
  <si>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</si>
  <si>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</si>
  <si>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</si>
  <si>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</si>
  <si>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</si>
  <si>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</si>
  <si>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</si>
  <si>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</si>
  <si>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</si>
  <si>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</si>
  <si>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</si>
  <si>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</si>
  <si>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</si>
  <si>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</si>
  <si>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</si>
  <si>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</si>
  <si>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</si>
  <si>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</si>
  <si>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</si>
  <si>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</si>
  <si>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</si>
  <si>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</si>
  <si>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</si>
  <si>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</si>
  <si>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</si>
  <si>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</si>
  <si>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</si>
  <si>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</si>
  <si>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</si>
  <si>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</si>
  <si>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</si>
  <si>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</si>
  <si>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</si>
  <si>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</si>
  <si>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</si>
  <si>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</si>
  <si>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</si>
  <si>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</si>
  <si>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</si>
  <si>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</si>
  <si>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</si>
  <si>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</si>
  <si>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</si>
  <si>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</si>
  <si>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</si>
  <si>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</si>
  <si>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</si>
  <si>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</si>
  <si>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</si>
  <si>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</si>
  <si>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</si>
  <si>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</si>
  <si>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</si>
  <si>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</si>
  <si>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</si>
  <si>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</si>
  <si>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</si>
  <si>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</si>
  <si>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</si>
  <si>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</si>
  <si>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</si>
  <si>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</si>
  <si>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</si>
  <si>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</si>
  <si>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</si>
  <si>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</si>
  <si>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</si>
  <si>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</si>
  <si>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</si>
  <si>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</si>
  <si>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</si>
  <si>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</si>
  <si>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</si>
  <si>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</si>
  <si>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</si>
  <si>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</si>
  <si>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</si>
  <si>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</si>
  <si>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</si>
  <si>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</si>
  <si>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</si>
  <si>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</si>
  <si>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</si>
  <si>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</si>
  <si>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</si>
  <si>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</si>
  <si>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</si>
  <si>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</si>
  <si>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</si>
  <si>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</si>
  <si>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</si>
  <si>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</si>
  <si>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</si>
  <si>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</si>
  <si>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</si>
  <si>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</si>
  <si>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</si>
  <si>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</si>
  <si>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</si>
  <si>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</si>
  <si>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</si>
  <si>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</si>
  <si>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</si>
  <si>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</si>
  <si>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</si>
  <si>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</si>
  <si>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</si>
  <si>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</si>
  <si>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</si>
  <si>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</si>
  <si>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</si>
  <si>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</si>
  <si>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</si>
  <si>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</si>
  <si>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</si>
  <si>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</si>
  <si>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</si>
  <si>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</si>
  <si>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</si>
  <si>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</si>
  <si>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</si>
  <si>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</si>
  <si>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</si>
  <si>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</si>
  <si>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</si>
  <si>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</si>
  <si>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</si>
  <si>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</si>
  <si>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</si>
  <si>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</si>
  <si>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</si>
  <si>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53 tonn, men det legges til grunn at hele avsetningen tas</t>
  </si>
  <si>
    <t>4 Registrert rekreasjonsfiske utgjør 398 tonn, men det legges til grunn at hele avsetningen tas</t>
  </si>
  <si>
    <t>3 Registrert rekreasjonsfiske utgjør 766 tonn, men det legges til grunn at hele avsetningen tas</t>
  </si>
  <si>
    <t>FANGST UKE 44</t>
  </si>
  <si>
    <t>FANGST T.O.M UKE 44</t>
  </si>
  <si>
    <t>RESTKVOTER UKE 44</t>
  </si>
  <si>
    <t>FANGST T.O.M UKE 44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</si>
  <si>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3 539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</si>
</sst>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25" zoomScale="83" zoomScaleNormal="55" zoomScaleSheetLayoutView="100" zoomScalePageLayoutView="85" workbookViewId="0">
      <selection activeCell="G143" sqref="G14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405.92250000000001</v>
      </c>
      <c r="G22" s="27">
        <f t="shared" si="0"/>
        <v>29647.33985</v>
      </c>
      <c r="H22" s="10">
        <f t="shared" si="0"/>
        <v>11938.660149999998</v>
      </c>
      <c r="I22" s="10">
        <f t="shared" si="0"/>
        <v>46259.140499999994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405.9225</f>
        <v>405.92250000000001</v>
      </c>
      <c r="G23" s="22">
        <f>29190.5168</f>
        <v>29190.516800000001</v>
      </c>
      <c r="H23" s="22">
        <f>E23-G23</f>
        <v>11632.483199999999</v>
      </c>
      <c r="I23" s="22">
        <f>45714.14442</f>
        <v>45714.144419999997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456.82305</f>
        <v>456.82305000000002</v>
      </c>
      <c r="H24" s="22">
        <f>E24-G24</f>
        <v>306.17694999999998</v>
      </c>
      <c r="I24" s="22">
        <f>544.99608</f>
        <v>544.99608000000001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736.93124</v>
      </c>
      <c r="G25" s="10">
        <f t="shared" si="1"/>
        <v>109091.39051</v>
      </c>
      <c r="H25" s="10">
        <f t="shared" si="1"/>
        <v>12576.609490000001</v>
      </c>
      <c r="I25" s="10">
        <f t="shared" si="1"/>
        <v>127868.56126999999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602.89191000000005</v>
      </c>
      <c r="G26" s="129">
        <f>G27+G28+G29+G30+G31</f>
        <v>87114.485119999998</v>
      </c>
      <c r="H26" s="129">
        <f t="shared" ref="H26:I26" si="2">H27+H28+H29+H30+H31</f>
        <v>7778.5148800000006</v>
      </c>
      <c r="I26" s="129">
        <f t="shared" si="2"/>
        <v>103680.80164999999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282.68161 - F53</f>
        <v>75.681609999999978</v>
      </c>
      <c r="G27" s="123">
        <f>24009.23595 - G53</f>
        <v>22922.235949999998</v>
      </c>
      <c r="H27" s="123">
        <f t="shared" ref="H27:H39" si="3">E27-G27</f>
        <v>2230.7640500000016</v>
      </c>
      <c r="I27" s="123">
        <f>26980.25167 - I53</f>
        <v>25937.251670000001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217.07409 - F54</f>
        <v>34.074090000000012</v>
      </c>
      <c r="G28" s="123">
        <f>24053.3546 - G54</f>
        <v>22758.354599999999</v>
      </c>
      <c r="H28" s="123">
        <f t="shared" si="3"/>
        <v>1235.6454000000012</v>
      </c>
      <c r="I28" s="123">
        <f>29582.84352 - I54</f>
        <v>28150.843519999999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78.52831 - F55</f>
        <v>9.5283100000000047</v>
      </c>
      <c r="G29" s="123">
        <f>22751.29011 - G55</f>
        <v>21394.290110000002</v>
      </c>
      <c r="H29" s="123">
        <f t="shared" si="3"/>
        <v>475.70988999999827</v>
      </c>
      <c r="I29" s="123">
        <f>27002.51028 - I55</f>
        <v>25701.510279999999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24.6079 - F56</f>
        <v>-11.392099999999999</v>
      </c>
      <c r="G30" s="123">
        <f>16300.60446 - G56</f>
        <v>15471.60446</v>
      </c>
      <c r="H30" s="123">
        <f t="shared" si="3"/>
        <v>173.39553999999953</v>
      </c>
      <c r="I30" s="123">
        <f>20115.19618 - I56</f>
        <v>19008.196179999999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495</v>
      </c>
      <c r="G31" s="123">
        <f>G52</f>
        <v>4568</v>
      </c>
      <c r="H31" s="123">
        <f>E31-G31</f>
        <v>3663</v>
      </c>
      <c r="I31" s="123">
        <f>I52</f>
        <v>4883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13679</v>
      </c>
      <c r="F32" s="129">
        <f>0.8378</f>
        <v>0.83779999999999999</v>
      </c>
      <c r="G32" s="129">
        <f>10064.11692</f>
        <v>10064.11692</v>
      </c>
      <c r="H32" s="129">
        <f t="shared" si="3"/>
        <v>3614.8830799999996</v>
      </c>
      <c r="I32" s="129">
        <f>11882.7425</f>
        <v>11882.7425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133.20152999999999</v>
      </c>
      <c r="G33" s="129">
        <f>G34+G35</f>
        <v>11912.78847</v>
      </c>
      <c r="H33" s="129">
        <f t="shared" si="3"/>
        <v>1183.2115300000005</v>
      </c>
      <c r="I33" s="129">
        <f>I34+I35</f>
        <v>12305.01712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12136</v>
      </c>
      <c r="F34" s="123">
        <f>150.20153 - F57 - F58</f>
        <v>0.20152999999999111</v>
      </c>
      <c r="G34" s="129">
        <f>14084.78847 - G57 - G58</f>
        <v>11072.78847</v>
      </c>
      <c r="H34" s="123">
        <f t="shared" si="3"/>
        <v>1063.2115300000005</v>
      </c>
      <c r="I34" s="123">
        <f>15174.01712 - I57 - I58</f>
        <v>11660.01712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133</v>
      </c>
      <c r="G35" s="67">
        <f>G57</f>
        <v>840</v>
      </c>
      <c r="H35" s="67">
        <f t="shared" si="3"/>
        <v>120</v>
      </c>
      <c r="I35" s="67">
        <f>I57</f>
        <v>645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1.5</f>
        <v>1.5</v>
      </c>
      <c r="G37" s="95">
        <f>626.23649</f>
        <v>626.23649</v>
      </c>
      <c r="H37" s="95">
        <f t="shared" si="3"/>
        <v>228.76351</v>
      </c>
      <c r="I37" s="95">
        <f>495.17128</f>
        <v>495.17128000000002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17</v>
      </c>
      <c r="G38" s="95">
        <f>G58</f>
        <v>2172</v>
      </c>
      <c r="H38" s="95">
        <f t="shared" si="3"/>
        <v>828</v>
      </c>
      <c r="I38" s="95">
        <f>I58</f>
        <v>2869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3.02607</f>
        <v>3.0260699999999998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1.38598</f>
        <v>1.38598</v>
      </c>
      <c r="G40" s="95">
        <f>386.61066</f>
        <v>386.61066</v>
      </c>
      <c r="H40" s="95">
        <f>E40-G40</f>
        <v>63.389340000000004</v>
      </c>
      <c r="I40" s="95">
        <f>347.3451</f>
        <v>347.3451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5.70308</f>
        <v>5.7030799999999999</v>
      </c>
      <c r="G41" s="136">
        <f>146.64002</f>
        <v>146.64001999999999</v>
      </c>
      <c r="H41" s="136">
        <f t="shared" ref="H41" si="4">E41-G41</f>
        <v>-146.64001999999999</v>
      </c>
      <c r="I41" s="136">
        <f>126.23276</f>
        <v>126.23276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1171.4688699999999</v>
      </c>
      <c r="G42" s="73">
        <f t="shared" si="5"/>
        <v>149350.47393000001</v>
      </c>
      <c r="H42" s="73">
        <f t="shared" si="5"/>
        <v>26208.526070000004</v>
      </c>
      <c r="I42" s="73">
        <f t="shared" si="5"/>
        <v>185313.81211000003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495</v>
      </c>
      <c r="G52" s="10">
        <f>G56+G55+G54+G53</f>
        <v>4568</v>
      </c>
      <c r="H52" s="329">
        <f>E52-G52</f>
        <v>3663</v>
      </c>
      <c r="I52" s="10">
        <f>I56+I55+I54+I53</f>
        <v>4883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207</v>
      </c>
      <c r="G53" s="123">
        <v>1087</v>
      </c>
      <c r="H53" s="330"/>
      <c r="I53" s="123">
        <v>1043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183</v>
      </c>
      <c r="G54" s="123">
        <v>1295</v>
      </c>
      <c r="H54" s="330"/>
      <c r="I54" s="123">
        <v>1432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69</v>
      </c>
      <c r="G55" s="123">
        <v>1357</v>
      </c>
      <c r="H55" s="330"/>
      <c r="I55" s="123">
        <v>1301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36</v>
      </c>
      <c r="G56" s="186">
        <v>829</v>
      </c>
      <c r="H56" s="331"/>
      <c r="I56" s="186">
        <v>1107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133</v>
      </c>
      <c r="G57" s="92">
        <v>840</v>
      </c>
      <c r="H57" s="92">
        <f>E57-G57</f>
        <v>120</v>
      </c>
      <c r="I57" s="92">
        <v>645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17</v>
      </c>
      <c r="G58" s="136">
        <v>2172</v>
      </c>
      <c r="H58" s="136">
        <f>E58-G58</f>
        <v>828</v>
      </c>
      <c r="I58" s="136">
        <v>2869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2.4990000000000001</v>
      </c>
      <c r="G79" s="10">
        <f t="shared" si="6"/>
        <v>21954.066299999999</v>
      </c>
      <c r="H79" s="10">
        <f t="shared" si="6"/>
        <v>4186.9336999999996</v>
      </c>
      <c r="I79" s="10">
        <f t="shared" si="6"/>
        <v>24029.868709999999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2.499</f>
        <v>2.4990000000000001</v>
      </c>
      <c r="G80" s="22">
        <f>21405.83064</f>
        <v>21405.83064</v>
      </c>
      <c r="H80" s="22">
        <f>E80-G80</f>
        <v>3910.1693599999999</v>
      </c>
      <c r="I80" s="22">
        <f>23234.43036</f>
        <v>23234.430359999998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548.23566</f>
        <v>548.23566000000005</v>
      </c>
      <c r="H81" s="48">
        <f>E81-G81</f>
        <v>276.76433999999995</v>
      </c>
      <c r="I81" s="48">
        <f>795.43835</f>
        <v>795.43835000000001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497.00152000000003</v>
      </c>
      <c r="G82" s="10">
        <f t="shared" si="7"/>
        <v>35537.713969999997</v>
      </c>
      <c r="H82" s="10">
        <f t="shared" si="7"/>
        <v>8591.2860300000011</v>
      </c>
      <c r="I82" s="10">
        <f t="shared" si="7"/>
        <v>41464.895599999996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364.1653</v>
      </c>
      <c r="G83" s="129">
        <f t="shared" si="8"/>
        <v>28222.8586</v>
      </c>
      <c r="H83" s="129">
        <f t="shared" si="8"/>
        <v>4282.1414000000004</v>
      </c>
      <c r="I83" s="129">
        <f t="shared" si="8"/>
        <v>33212.744290000002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204.91459</f>
        <v>204.91459</v>
      </c>
      <c r="G84" s="123">
        <f>4225.52865</f>
        <v>4225.5286500000002</v>
      </c>
      <c r="H84" s="123">
        <f t="shared" ref="H84:H91" si="9">E84-G84</f>
        <v>4778.4713499999998</v>
      </c>
      <c r="I84" s="123">
        <f>5640.36578</f>
        <v>5640.3657800000001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9075</v>
      </c>
      <c r="F85" s="123">
        <f>82.34225</f>
        <v>82.342250000000007</v>
      </c>
      <c r="G85" s="123">
        <f>7497.73183</f>
        <v>7497.7318299999997</v>
      </c>
      <c r="H85" s="123">
        <f t="shared" si="9"/>
        <v>1577.2681700000003</v>
      </c>
      <c r="I85" s="123">
        <f>10580.90441</f>
        <v>10580.904409999999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8649</v>
      </c>
      <c r="F86" s="123">
        <f>61.73534</f>
        <v>61.735340000000001</v>
      </c>
      <c r="G86" s="123">
        <f>8486.36852</f>
        <v>8486.36852</v>
      </c>
      <c r="H86" s="123">
        <f t="shared" si="9"/>
        <v>162.63148000000001</v>
      </c>
      <c r="I86" s="123">
        <f>9993.0358</f>
        <v>9993.0357999999997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15.17312</f>
        <v>15.173120000000001</v>
      </c>
      <c r="G87" s="123">
        <f>8013.2296</f>
        <v>8013.2295999999997</v>
      </c>
      <c r="H87" s="123">
        <f t="shared" si="9"/>
        <v>-2236.2295999999997</v>
      </c>
      <c r="I87" s="123">
        <f>6998.4383</f>
        <v>6998.4382999999998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0.15276</f>
        <v>0.15276000000000001</v>
      </c>
      <c r="G88" s="129">
        <f>5081.09908</f>
        <v>5081.09908</v>
      </c>
      <c r="H88" s="129">
        <f t="shared" si="9"/>
        <v>3035.90092</v>
      </c>
      <c r="I88" s="129">
        <f>5675.03283</f>
        <v>5675.0328300000001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132.68346</f>
        <v>132.68346</v>
      </c>
      <c r="G89" s="72">
        <f>2233.75629</f>
        <v>2233.7562899999998</v>
      </c>
      <c r="H89" s="72">
        <f t="shared" si="9"/>
        <v>1273.2437100000002</v>
      </c>
      <c r="I89" s="72">
        <f>2577.11848</f>
        <v>2577.1184800000001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37.97337</f>
        <v>37.973370000000003</v>
      </c>
      <c r="H90" s="95">
        <f t="shared" si="9"/>
        <v>281.02663000000001</v>
      </c>
      <c r="I90" s="95">
        <f>36.15738</f>
        <v>36.157380000000003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0.24409</f>
        <v>0.24409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0.77862</f>
        <v>0.77861999999999998</v>
      </c>
      <c r="G92" s="95">
        <f>15.3263</f>
        <v>15.3263</v>
      </c>
      <c r="H92" s="136">
        <f>E92-G92</f>
        <v>34.673699999999997</v>
      </c>
      <c r="I92" s="95">
        <f>49.4666</f>
        <v>49.4666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0.16752</f>
        <v>0.16752</v>
      </c>
      <c r="G93" s="136">
        <f>24.14278</f>
        <v>24.142779999999998</v>
      </c>
      <c r="H93" s="136">
        <f t="shared" ref="H93" si="10">E93-G93</f>
        <v>-24.142779999999998</v>
      </c>
      <c r="I93" s="136">
        <f>45.11342</f>
        <v>45.113419999999998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500.69075000000009</v>
      </c>
      <c r="G94" s="73">
        <f t="shared" si="12"/>
        <v>57869.222719999998</v>
      </c>
      <c r="H94" s="73">
        <f t="shared" si="12"/>
        <v>13069.77728</v>
      </c>
      <c r="I94" s="73">
        <f t="shared" si="12"/>
        <v>65925.501709999982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137.28014999999999</v>
      </c>
      <c r="G115" s="10">
        <f t="shared" si="13"/>
        <v>42795.707720000006</v>
      </c>
      <c r="H115" s="10">
        <f t="shared" si="13"/>
        <v>28219.292280000001</v>
      </c>
      <c r="I115" s="10">
        <f t="shared" si="13"/>
        <v>55021.542279999994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137.28015</f>
        <v>137.28014999999999</v>
      </c>
      <c r="G116" s="22">
        <f>38362.43524</f>
        <v>38362.435239999999</v>
      </c>
      <c r="H116" s="22">
        <f>E116-G116</f>
        <v>18087.564760000001</v>
      </c>
      <c r="I116" s="22">
        <f>49253.79894</f>
        <v>49253.798940000001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4367.91488</f>
        <v>4367.9148800000003</v>
      </c>
      <c r="H117" s="22">
        <f>E117-G117</f>
        <v>9697.0851199999997</v>
      </c>
      <c r="I117" s="22">
        <f>5691.41619</f>
        <v>5691.4161899999999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76.32715</f>
        <v>76.327150000000003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5.715</f>
        <v>5.7149999999999999</v>
      </c>
      <c r="G119" s="92">
        <f>30096.0787+3539.0886</f>
        <v>33635.167300000001</v>
      </c>
      <c r="H119" s="92">
        <f>E119-G119</f>
        <v>17794.832699999999</v>
      </c>
      <c r="I119" s="92">
        <f>16489.5028</f>
        <v>16489.502799999998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867.6357099999999</v>
      </c>
      <c r="G120" s="91">
        <f t="shared" ref="G120" si="14">G121+G126+G129</f>
        <v>45259.6872</v>
      </c>
      <c r="H120" s="91">
        <f>H121+H126+H129</f>
        <v>29785.312799999996</v>
      </c>
      <c r="I120" s="91">
        <f>I121+I126+I129</f>
        <v>68570.519719999997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695.30299999999988</v>
      </c>
      <c r="G121" s="121">
        <f>G122+G123+G125+G124</f>
        <v>33471.428110000001</v>
      </c>
      <c r="H121" s="121">
        <f>H122+H123+H124+H125</f>
        <v>22887.571889999996</v>
      </c>
      <c r="I121" s="121">
        <f>I122+I123+I124+I125</f>
        <v>53361.137049999998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211.13408</f>
        <v>211.13408000000001</v>
      </c>
      <c r="G122" s="123">
        <f>8478.55007</f>
        <v>8478.5500699999993</v>
      </c>
      <c r="H122" s="123">
        <f>E122-G122</f>
        <v>7537.4499300000007</v>
      </c>
      <c r="I122" s="123">
        <f>10532.96226</f>
        <v>10532.96226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167.03957</f>
        <v>167.03957</v>
      </c>
      <c r="G123" s="123">
        <f>9342.10918-157.7851</f>
        <v>9184.3240800000003</v>
      </c>
      <c r="H123" s="123">
        <f>E123-G123</f>
        <v>5669.6759199999997</v>
      </c>
      <c r="I123" s="123">
        <f>13544.8029</f>
        <v>13544.802900000001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171.23001</f>
        <v>171.23000999999999</v>
      </c>
      <c r="G124" s="123">
        <f>8951.1617-737.8391</f>
        <v>8213.3226000000013</v>
      </c>
      <c r="H124" s="123">
        <f>E124-G124</f>
        <v>4658.6773999999987</v>
      </c>
      <c r="I124" s="123">
        <f>14140.68046</f>
        <v>14140.68046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145.89934</f>
        <v>145.89934</v>
      </c>
      <c r="G125" s="123">
        <f>10238.69576-2643.4644</f>
        <v>7595.2313600000007</v>
      </c>
      <c r="H125" s="123">
        <f>E125-G125</f>
        <v>5021.7686399999993</v>
      </c>
      <c r="I125" s="123">
        <f>15142.69143</f>
        <v>15142.691430000001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1.8972</v>
      </c>
      <c r="G126" s="129">
        <f>SUM(G127:G128)</f>
        <v>6281.5629500000005</v>
      </c>
      <c r="H126" s="129">
        <f>H127+H128</f>
        <v>1460.4370499999998</v>
      </c>
      <c r="I126" s="129">
        <f>SUM(I127:I128)</f>
        <v>8924.2537000000011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6093.39083</f>
        <v>6093.3908300000003</v>
      </c>
      <c r="H127" s="123">
        <f t="shared" ref="H127:H135" si="15">E127-G127</f>
        <v>1148.6091699999997</v>
      </c>
      <c r="I127" s="123">
        <f>8475.63584</f>
        <v>8475.6358400000008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1.8972</f>
        <v>1.8972</v>
      </c>
      <c r="G128" s="123">
        <f>188.17212</f>
        <v>188.17212000000001</v>
      </c>
      <c r="H128" s="123">
        <f t="shared" si="15"/>
        <v>311.82787999999999</v>
      </c>
      <c r="I128" s="123">
        <f>448.61786</f>
        <v>448.61786000000001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170.43551</f>
        <v>170.43550999999999</v>
      </c>
      <c r="G129" s="72">
        <f>5506.69614</f>
        <v>5506.69614</v>
      </c>
      <c r="H129" s="72">
        <f t="shared" si="15"/>
        <v>5437.30386</v>
      </c>
      <c r="I129" s="72">
        <f>6285.12897</f>
        <v>6285.1289699999998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0.108</f>
        <v>0.108</v>
      </c>
      <c r="G130" s="136">
        <f>18.33673</f>
        <v>18.336729999999999</v>
      </c>
      <c r="H130" s="136">
        <f t="shared" si="15"/>
        <v>127.66327</v>
      </c>
      <c r="I130" s="136">
        <f>16.16345</f>
        <v>16.163450000000001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0.543</f>
        <v>0.54300000000000004</v>
      </c>
      <c r="G131" s="95">
        <f>1.642</f>
        <v>1.6419999999999999</v>
      </c>
      <c r="H131" s="95">
        <f t="shared" si="15"/>
        <v>348.358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3.51979</f>
        <v>3.51979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0.8349</f>
        <v>0.83489999999999998</v>
      </c>
      <c r="G134" s="95">
        <f>90.488</f>
        <v>90.488</v>
      </c>
      <c r="H134" s="136">
        <f t="shared" si="15"/>
        <v>222.512</v>
      </c>
      <c r="I134" s="95">
        <f>72.10281</f>
        <v>72.102810000000005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7.2303</f>
        <v>7.2302999999999997</v>
      </c>
      <c r="G135" s="136">
        <f>242.32059</f>
        <v>242.32059000000001</v>
      </c>
      <c r="H135" s="136">
        <f t="shared" si="15"/>
        <v>-242.32059000000001</v>
      </c>
      <c r="I135" s="136">
        <f>251.77324</f>
        <v>251.77323999999999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1022.8668499999997</v>
      </c>
      <c r="G137" s="73">
        <f>G115+G119+G120+G130+G131+G132+G133+G134+G135</f>
        <v>124043.34954000001</v>
      </c>
      <c r="H137" s="73">
        <f>H115+H119+H120+H130+H131+H132+H133+H134+H135</f>
        <v>76255.65045999999</v>
      </c>
      <c r="I137" s="73">
        <f>I115+I119+I120+I130+I131+I132+I133+I134+I135</f>
        <v>142677.6403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2.36666</f>
        <v>2.36666</v>
      </c>
      <c r="F160" s="297">
        <f>1188.74042</f>
        <v>1188.7404200000001</v>
      </c>
      <c r="G160" s="42">
        <f>D160-F160-F161</f>
        <v>1304.6795999999999</v>
      </c>
      <c r="H160" s="297">
        <f>1261.24317</f>
        <v>1261.24317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1268.57998</f>
        <v>1268.57998</v>
      </c>
      <c r="G161" s="219"/>
      <c r="H161" s="148">
        <f>1568.48438</f>
        <v>1568.4843800000001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0.062</f>
        <v>6.2E-2</v>
      </c>
      <c r="F162" s="166">
        <f>87.3521</f>
        <v>87.352099999999993</v>
      </c>
      <c r="G162" s="166">
        <f>D162-F162</f>
        <v>112.64790000000001</v>
      </c>
      <c r="H162" s="166">
        <f>117.20527</f>
        <v>117.20527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8.4684500000000007</v>
      </c>
      <c r="F163" s="175">
        <f>F164+F165+F166</f>
        <v>5446.3273200000003</v>
      </c>
      <c r="G163" s="175">
        <f>D163-F163</f>
        <v>195.67267999999967</v>
      </c>
      <c r="H163" s="175">
        <f>H164+H165+H166</f>
        <v>5987.0825400000003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1.9236</f>
        <v>1.9236</v>
      </c>
      <c r="F164" s="123">
        <f>3072.93217</f>
        <v>3072.93217</v>
      </c>
      <c r="G164" s="123"/>
      <c r="H164" s="123">
        <f>3091.81146</f>
        <v>3091.8114599999999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4.51225</f>
        <v>4.5122499999999999</v>
      </c>
      <c r="F165" s="123">
        <f>1590.80433</f>
        <v>1590.8043299999999</v>
      </c>
      <c r="G165" s="123"/>
      <c r="H165" s="123">
        <f>1826.89424</f>
        <v>1826.8942400000001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2.0326</f>
        <v>2.0326</v>
      </c>
      <c r="F166" s="186">
        <f>782.59082</f>
        <v>782.59082000000001</v>
      </c>
      <c r="G166" s="186"/>
      <c r="H166" s="186">
        <f>1068.37684</f>
        <v>1068.3768399999999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10.897110000000001</v>
      </c>
      <c r="F169" s="188">
        <f>F160+F161+F162+F163+F167+F168</f>
        <v>7996.3529200000012</v>
      </c>
      <c r="G169" s="188">
        <f>D169-F169</f>
        <v>1678.6470799999988</v>
      </c>
      <c r="H169" s="188">
        <f>H160+H161+H162+H163+H167+H168</f>
        <v>8934.0153600000012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23.09937</f>
        <v>23.09937</v>
      </c>
      <c r="G189" s="124">
        <f>44980.43176</f>
        <v>44980.431759999999</v>
      </c>
      <c r="H189" s="124">
        <f>E189-G189</f>
        <v>-1645.4317599999995</v>
      </c>
      <c r="I189" s="124">
        <f>42355.61052</f>
        <v>42355.610520000002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0.7442</f>
        <v>0.74419999999999997</v>
      </c>
      <c r="G190" s="124">
        <f>39.17494</f>
        <v>39.174939999999999</v>
      </c>
      <c r="H190" s="124">
        <f>E190-G190</f>
        <v>60.825060000000001</v>
      </c>
      <c r="I190" s="124">
        <f>41.30456</f>
        <v>41.304560000000002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23.84357</v>
      </c>
      <c r="G192" s="190">
        <f>SUM(G189:G191)</f>
        <v>45019.606699999997</v>
      </c>
      <c r="H192" s="190">
        <f>E192-G192</f>
        <v>-1548.6066999999966</v>
      </c>
      <c r="I192" s="190">
        <f>SUM(I189:I191)</f>
        <v>42396.915079999999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5.8092000000000006</v>
      </c>
      <c r="F202" s="72">
        <f>F203+F204</f>
        <v>3876.4039499999999</v>
      </c>
      <c r="G202" s="72">
        <f>D202-F202</f>
        <v>110.5960500000001</v>
      </c>
      <c r="H202" s="72">
        <f>H203+H204</f>
        <v>4271.0028000000002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3.8544</f>
        <v>3.8544</v>
      </c>
      <c r="F203" s="72">
        <f>3155.49107</f>
        <v>3155.49107</v>
      </c>
      <c r="G203" s="72"/>
      <c r="H203" s="72">
        <f>3642.68221</f>
        <v>3642.6822099999999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1.9548</f>
        <v>1.9548000000000001</v>
      </c>
      <c r="F204" s="124">
        <f>720.91288</f>
        <v>720.91287999999997</v>
      </c>
      <c r="G204" s="168"/>
      <c r="H204" s="124">
        <f>628.32059</f>
        <v>628.32059000000004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72.51684</f>
        <v>72.516840000000002</v>
      </c>
      <c r="F205" s="72">
        <f>4717.55646</f>
        <v>4717.5564599999998</v>
      </c>
      <c r="G205" s="72">
        <f>D205-F205</f>
        <v>-104.55645999999979</v>
      </c>
      <c r="H205" s="72">
        <f>5396.06516</f>
        <v>5396.0651600000001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78.326040000000006</v>
      </c>
      <c r="F206" s="190">
        <f>SUM(F202,F205)</f>
        <v>8593.9604099999997</v>
      </c>
      <c r="G206" s="190">
        <f>D206-F206</f>
        <v>6.0395900000003166</v>
      </c>
      <c r="H206" s="190">
        <f>SUM(H202,H205)</f>
        <v>9667.0679600000003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2.4988099999999998</v>
      </c>
      <c r="F215" s="72">
        <f>F216+F217</f>
        <v>5361.33104</v>
      </c>
      <c r="G215" s="72">
        <f>D215-F215</f>
        <v>-271.33104000000003</v>
      </c>
      <c r="H215" s="72">
        <f>H216+H217</f>
        <v>5373.2245499999999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0.2352</f>
        <v>0.23519999999999999</v>
      </c>
      <c r="F216" s="72">
        <f>4986.52995</f>
        <v>4986.5299500000001</v>
      </c>
      <c r="G216" s="72"/>
      <c r="H216" s="72">
        <f>4840.1259</f>
        <v>4840.1259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2.26361</f>
        <v>2.2636099999999999</v>
      </c>
      <c r="F217" s="124">
        <f>374.80109</f>
        <v>374.80108999999999</v>
      </c>
      <c r="G217" s="168"/>
      <c r="H217" s="124">
        <f>533.09865</f>
        <v>533.09865000000002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165.64</f>
        <v>165.64</v>
      </c>
      <c r="F218" s="72">
        <f>2704.46095</f>
        <v>2704.4609500000001</v>
      </c>
      <c r="G218" s="72">
        <f>D218-F218</f>
        <v>276.53904999999986</v>
      </c>
      <c r="H218" s="72">
        <f>2970.60611</f>
        <v>2970.6061100000002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168.13880999999998</v>
      </c>
      <c r="F219" s="190">
        <f>SUM(F215,F218)</f>
        <v>8065.7919899999997</v>
      </c>
      <c r="G219" s="190">
        <f>D219-F219</f>
        <v>5.2080100000002858</v>
      </c>
      <c r="H219" s="190">
        <f>SUM(H215,H218)</f>
        <v>8343.8306599999996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6.8746</f>
        <v>6.8746</v>
      </c>
      <c r="F237" s="124">
        <f>578.94605</f>
        <v>578.94605000000001</v>
      </c>
      <c r="G237" s="124">
        <f>D237-F237</f>
        <v>221.05394999999999</v>
      </c>
      <c r="H237" s="124">
        <f>632.19273</f>
        <v>632.19272999999998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34.31868</f>
        <v>34.318680000000001</v>
      </c>
      <c r="F238" s="124">
        <f>1410.64698</f>
        <v>1410.64698</v>
      </c>
      <c r="G238" s="124">
        <f>D238-F238</f>
        <v>782.35302000000001</v>
      </c>
      <c r="H238" s="124">
        <f>2345.25884</f>
        <v>2345.25884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1.30958</f>
        <v>1.30958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41.193280000000001</v>
      </c>
      <c r="F241" s="190">
        <f>SUM(F237:F240)</f>
        <v>1995.9155599999999</v>
      </c>
      <c r="G241" s="190">
        <f>D241-F241</f>
        <v>1007.0844400000001</v>
      </c>
      <c r="H241" s="190">
        <f>H237+H238+H239+H240</f>
        <v>2982.3707700000004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592.65845000000002</v>
      </c>
      <c r="G262" s="276">
        <f t="shared" si="17"/>
        <v>25164.998609999999</v>
      </c>
      <c r="H262" s="276">
        <f>H266+H265+H264+H263</f>
        <v>2571.0013900000004</v>
      </c>
      <c r="I262" s="276">
        <f t="shared" si="17"/>
        <v>19557.878969999998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571.62962</f>
        <v>571.62962000000005</v>
      </c>
      <c r="G263" s="280">
        <f>17287.95337</f>
        <v>17287.953369999999</v>
      </c>
      <c r="H263" s="280">
        <f t="shared" ref="H263:H267" si="18">E263-G263</f>
        <v>-617.95336999999927</v>
      </c>
      <c r="I263" s="280">
        <f>13087.87398</f>
        <v>13087.87398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3097.53753</f>
        <v>3097.5375300000001</v>
      </c>
      <c r="H264" s="280">
        <f>E264-G264</f>
        <v>1241.4624699999999</v>
      </c>
      <c r="I264" s="280">
        <f>1998.07392</f>
        <v>1998.07392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2.14423</f>
        <v>2.1442299999999999</v>
      </c>
      <c r="G265" s="280">
        <f>1661.64272</f>
        <v>1661.6427200000001</v>
      </c>
      <c r="H265" s="280">
        <f t="shared" si="18"/>
        <v>-90.642720000000054</v>
      </c>
      <c r="I265" s="280">
        <f>1989.75381</f>
        <v>1989.7538099999999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18.8846</f>
        <v>18.884599999999999</v>
      </c>
      <c r="G266" s="280">
        <f>3117.86499</f>
        <v>3117.86499</v>
      </c>
      <c r="H266" s="280">
        <f t="shared" si="18"/>
        <v>2038.13501</v>
      </c>
      <c r="I266" s="280">
        <f>2482.17726</f>
        <v>2482.1772599999999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</f>
        <v>0</v>
      </c>
      <c r="G267" s="290">
        <f>4113.24424</f>
        <v>4113.24424</v>
      </c>
      <c r="H267" s="290">
        <f t="shared" si="18"/>
        <v>1386.75576</v>
      </c>
      <c r="I267" s="290">
        <f>2114.47578</f>
        <v>2114.4757800000002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114.95865000000001</v>
      </c>
      <c r="G268" s="291">
        <f>G270+G269</f>
        <v>3378.89707</v>
      </c>
      <c r="H268" s="291">
        <f>E268-G268</f>
        <v>4621.10293</v>
      </c>
      <c r="I268" s="291">
        <f>I270+I269</f>
        <v>3909.0432999999998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527.33041</f>
        <v>527.33041000000003</v>
      </c>
      <c r="H269" s="280"/>
      <c r="I269" s="280">
        <f>1040.86854</f>
        <v>1040.8685399999999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114.95865</f>
        <v>114.95865000000001</v>
      </c>
      <c r="G270" s="299">
        <f>2851.56666</f>
        <v>2851.56666</v>
      </c>
      <c r="H270" s="299"/>
      <c r="I270" s="299">
        <f>2868.17476</f>
        <v>2868.1747599999999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0.1484</f>
        <v>0.1484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1.43988</f>
        <v>1.43988</v>
      </c>
      <c r="G272" s="290">
        <f>171.48673</f>
        <v>171.48672999999999</v>
      </c>
      <c r="H272" s="290">
        <f>E272-G272</f>
        <v>-171.48672999999999</v>
      </c>
      <c r="I272" s="290">
        <f>113.10264</f>
        <v>113.10263999999999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709.05698000000007</v>
      </c>
      <c r="G273" s="308">
        <f t="shared" si="19"/>
        <v>32829.19515</v>
      </c>
      <c r="H273" s="308">
        <f>H262+H267+H268+H271+H272</f>
        <v>8419.8048500000004</v>
      </c>
      <c r="I273" s="308">
        <f t="shared" si="19"/>
        <v>25694.649089999999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43.295699999999997</v>
      </c>
      <c r="F294" s="25">
        <f>SUM(F295:F296)</f>
        <v>913.71003000000007</v>
      </c>
      <c r="G294" s="82">
        <f>D294-F294</f>
        <v>-134.71003000000007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34.9445</f>
        <v>34.944499999999998</v>
      </c>
      <c r="F295" s="198">
        <f>676.91375</f>
        <v>676.91375000000005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8.3512</f>
        <v>8.3512000000000004</v>
      </c>
      <c r="F296" s="202">
        <f>236.79628</f>
        <v>236.79628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3.4790000000000001</v>
      </c>
      <c r="F297" s="25">
        <f>SUM(F298:F299)</f>
        <v>3.4790000000000001</v>
      </c>
      <c r="G297" s="82">
        <f>D297-F297</f>
        <v>775.52099999999996</v>
      </c>
      <c r="H297" s="25">
        <f>SUM(H298:H299)</f>
        <v>0.85199999999999998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3.479</f>
        <v>3.4790000000000001</v>
      </c>
      <c r="F298" s="29">
        <f>3.479</f>
        <v>3.4790000000000001</v>
      </c>
      <c r="G298" s="94"/>
      <c r="H298" s="29">
        <f>0.591</f>
        <v>0.59099999999999997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0.261</f>
        <v>0.26100000000000001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46.774699999999996</v>
      </c>
      <c r="F304" s="39">
        <f>F294+F297+F300+F303</f>
        <v>917.18903000000012</v>
      </c>
      <c r="G304" s="40">
        <f>D304-F304</f>
        <v>1420.81097</v>
      </c>
      <c r="H304" s="39">
        <f>H294+H297+H300+H303</f>
        <v>1024.0578800000001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0.99784</f>
        <v>0.99783999999999995</v>
      </c>
      <c r="F322" s="29">
        <f>1035.89425</f>
        <v>1035.8942500000001</v>
      </c>
      <c r="G322" s="238">
        <f>D322-F322</f>
        <v>-787.89425000000006</v>
      </c>
      <c r="H322" s="29">
        <f>649.82192</f>
        <v>649.82191999999998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34.9661</f>
        <v>34.966099999999997</v>
      </c>
      <c r="F323" s="29">
        <f>1910.7044</f>
        <v>1910.7044000000001</v>
      </c>
      <c r="G323" s="241">
        <f>D323-F323</f>
        <v>20137.295600000001</v>
      </c>
      <c r="H323" s="29">
        <f>2153.33733</f>
        <v>2153.3373299999998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35.963939999999994</v>
      </c>
      <c r="F324" s="39">
        <f>F323+F322</f>
        <v>2946.5986499999999</v>
      </c>
      <c r="G324" s="39">
        <f>G323+G322</f>
        <v>19349.40135</v>
      </c>
      <c r="H324" s="39">
        <f>H323+H322</f>
        <v>2803.1592499999997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44&amp;R03.11.2025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2025-11-03T10:24:08Z</dcterms:modified>
</cp:coreProperties>
</file>