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44A923BA-D0C3-42A1-86B7-3FB20B2CB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F422" i="1"/>
  <c r="G422" i="1" s="1"/>
  <c r="E422" i="1"/>
  <c r="H421" i="1"/>
  <c r="F421" i="1"/>
  <c r="F419" i="1" s="1"/>
  <c r="G419" i="1" s="1"/>
  <c r="E421" i="1"/>
  <c r="H420" i="1"/>
  <c r="H419" i="1" s="1"/>
  <c r="F420" i="1"/>
  <c r="E420" i="1"/>
  <c r="E419" i="1"/>
  <c r="H418" i="1"/>
  <c r="H416" i="1" s="1"/>
  <c r="F418" i="1"/>
  <c r="E418" i="1"/>
  <c r="H417" i="1"/>
  <c r="F417" i="1"/>
  <c r="F416" i="1" s="1"/>
  <c r="G416" i="1" s="1"/>
  <c r="E417" i="1"/>
  <c r="E416" i="1"/>
  <c r="H415" i="1"/>
  <c r="F415" i="1"/>
  <c r="E415" i="1"/>
  <c r="H414" i="1"/>
  <c r="H413" i="1" s="1"/>
  <c r="H423" i="1" s="1"/>
  <c r="F414" i="1"/>
  <c r="F413" i="1" s="1"/>
  <c r="E414" i="1"/>
  <c r="E413" i="1" s="1"/>
  <c r="E423" i="1" s="1"/>
  <c r="D391" i="1"/>
  <c r="I390" i="1"/>
  <c r="G390" i="1"/>
  <c r="H390" i="1" s="1"/>
  <c r="F390" i="1"/>
  <c r="I389" i="1"/>
  <c r="G389" i="1"/>
  <c r="H389" i="1" s="1"/>
  <c r="F389" i="1"/>
  <c r="I388" i="1"/>
  <c r="I386" i="1" s="1"/>
  <c r="G388" i="1"/>
  <c r="F388" i="1"/>
  <c r="F386" i="1" s="1"/>
  <c r="I387" i="1"/>
  <c r="G387" i="1"/>
  <c r="F387" i="1"/>
  <c r="G386" i="1"/>
  <c r="H386" i="1" s="1"/>
  <c r="I385" i="1"/>
  <c r="H385" i="1"/>
  <c r="G385" i="1"/>
  <c r="F385" i="1"/>
  <c r="I384" i="1"/>
  <c r="G384" i="1"/>
  <c r="H384" i="1" s="1"/>
  <c r="F384" i="1"/>
  <c r="I383" i="1"/>
  <c r="H383" i="1"/>
  <c r="G383" i="1"/>
  <c r="F383" i="1"/>
  <c r="F380" i="1" s="1"/>
  <c r="I382" i="1"/>
  <c r="G382" i="1"/>
  <c r="H382" i="1" s="1"/>
  <c r="F382" i="1"/>
  <c r="I381" i="1"/>
  <c r="H381" i="1"/>
  <c r="G381" i="1"/>
  <c r="F381" i="1"/>
  <c r="I380" i="1"/>
  <c r="I391" i="1" s="1"/>
  <c r="D380" i="1"/>
  <c r="H372" i="1"/>
  <c r="F372" i="1"/>
  <c r="E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G354" i="1" s="1"/>
  <c r="E350" i="1"/>
  <c r="D343" i="1"/>
  <c r="D299" i="1"/>
  <c r="H298" i="1"/>
  <c r="F298" i="1"/>
  <c r="G298" i="1" s="1"/>
  <c r="E298" i="1"/>
  <c r="H297" i="1"/>
  <c r="F297" i="1"/>
  <c r="E297" i="1"/>
  <c r="E295" i="1" s="1"/>
  <c r="E299" i="1" s="1"/>
  <c r="H296" i="1"/>
  <c r="H295" i="1" s="1"/>
  <c r="H299" i="1" s="1"/>
  <c r="F296" i="1"/>
  <c r="F295" i="1" s="1"/>
  <c r="E296" i="1"/>
  <c r="D253" i="1"/>
  <c r="H252" i="1"/>
  <c r="F252" i="1"/>
  <c r="G252" i="1" s="1"/>
  <c r="E252" i="1"/>
  <c r="H251" i="1"/>
  <c r="H249" i="1" s="1"/>
  <c r="H253" i="1" s="1"/>
  <c r="F251" i="1"/>
  <c r="F249" i="1" s="1"/>
  <c r="E251" i="1"/>
  <c r="H250" i="1"/>
  <c r="F250" i="1"/>
  <c r="E250" i="1"/>
  <c r="E249" i="1"/>
  <c r="E253" i="1" s="1"/>
  <c r="D207" i="1"/>
  <c r="G207" i="1" s="1"/>
  <c r="H206" i="1"/>
  <c r="F206" i="1"/>
  <c r="G206" i="1" s="1"/>
  <c r="E206" i="1"/>
  <c r="H205" i="1"/>
  <c r="G205" i="1"/>
  <c r="F205" i="1"/>
  <c r="E205" i="1"/>
  <c r="E207" i="1" s="1"/>
  <c r="H204" i="1"/>
  <c r="H207" i="1" s="1"/>
  <c r="F204" i="1"/>
  <c r="F207" i="1" s="1"/>
  <c r="E204" i="1"/>
  <c r="D184" i="1"/>
  <c r="G184" i="1" s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E178" i="1" s="1"/>
  <c r="H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E175" i="1"/>
  <c r="D167" i="1"/>
  <c r="D169" i="1" s="1"/>
  <c r="I148" i="1"/>
  <c r="H148" i="1"/>
  <c r="G148" i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I139" i="1" s="1"/>
  <c r="G141" i="1"/>
  <c r="H141" i="1" s="1"/>
  <c r="F141" i="1"/>
  <c r="I140" i="1"/>
  <c r="G140" i="1"/>
  <c r="G139" i="1" s="1"/>
  <c r="F140" i="1"/>
  <c r="F139" i="1" s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E134" i="1"/>
  <c r="D134" i="1"/>
  <c r="D133" i="1" s="1"/>
  <c r="E133" i="1"/>
  <c r="I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G129" i="1"/>
  <c r="H129" i="1" s="1"/>
  <c r="F129" i="1"/>
  <c r="F128" i="1"/>
  <c r="F150" i="1" s="1"/>
  <c r="E128" i="1"/>
  <c r="E150" i="1" s="1"/>
  <c r="D128" i="1"/>
  <c r="D150" i="1" s="1"/>
  <c r="C126" i="1"/>
  <c r="I106" i="1"/>
  <c r="H106" i="1"/>
  <c r="G106" i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G96" i="1" s="1"/>
  <c r="G95" i="1" s="1"/>
  <c r="F97" i="1"/>
  <c r="F96" i="1" s="1"/>
  <c r="F95" i="1" s="1"/>
  <c r="I96" i="1"/>
  <c r="I95" i="1" s="1"/>
  <c r="E96" i="1"/>
  <c r="E95" i="1" s="1"/>
  <c r="D96" i="1"/>
  <c r="D95" i="1" s="1"/>
  <c r="I94" i="1"/>
  <c r="G94" i="1"/>
  <c r="H94" i="1" s="1"/>
  <c r="H92" i="1" s="1"/>
  <c r="F94" i="1"/>
  <c r="F92" i="1" s="1"/>
  <c r="I93" i="1"/>
  <c r="I92" i="1" s="1"/>
  <c r="H93" i="1"/>
  <c r="G93" i="1"/>
  <c r="F93" i="1"/>
  <c r="G92" i="1"/>
  <c r="G107" i="1" s="1"/>
  <c r="E92" i="1"/>
  <c r="D92" i="1"/>
  <c r="D107" i="1" s="1"/>
  <c r="C89" i="1"/>
  <c r="H85" i="1"/>
  <c r="F85" i="1"/>
  <c r="D85" i="1"/>
  <c r="G61" i="1"/>
  <c r="G60" i="1"/>
  <c r="H55" i="1"/>
  <c r="I32" i="1" s="1"/>
  <c r="G55" i="1"/>
  <c r="F55" i="1"/>
  <c r="E55" i="1"/>
  <c r="I43" i="1"/>
  <c r="G43" i="1"/>
  <c r="H43" i="1" s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F26" i="1" s="1"/>
  <c r="I35" i="1"/>
  <c r="G35" i="1"/>
  <c r="H35" i="1" s="1"/>
  <c r="F35" i="1"/>
  <c r="E35" i="1"/>
  <c r="D34" i="1"/>
  <c r="I33" i="1"/>
  <c r="H33" i="1"/>
  <c r="G33" i="1"/>
  <c r="F33" i="1"/>
  <c r="G32" i="1"/>
  <c r="H32" i="1" s="1"/>
  <c r="F32" i="1"/>
  <c r="I31" i="1"/>
  <c r="H31" i="1"/>
  <c r="G31" i="1"/>
  <c r="F31" i="1"/>
  <c r="I30" i="1"/>
  <c r="G30" i="1"/>
  <c r="H30" i="1" s="1"/>
  <c r="F30" i="1"/>
  <c r="I29" i="1"/>
  <c r="I27" i="1" s="1"/>
  <c r="H29" i="1"/>
  <c r="G29" i="1"/>
  <c r="F29" i="1"/>
  <c r="I28" i="1"/>
  <c r="G28" i="1"/>
  <c r="G27" i="1" s="1"/>
  <c r="F28" i="1"/>
  <c r="F27" i="1" s="1"/>
  <c r="E27" i="1"/>
  <c r="E26" i="1" s="1"/>
  <c r="D27" i="1"/>
  <c r="D26" i="1" s="1"/>
  <c r="D44" i="1" s="1"/>
  <c r="I25" i="1"/>
  <c r="G25" i="1"/>
  <c r="G23" i="1" s="1"/>
  <c r="F25" i="1"/>
  <c r="I24" i="1"/>
  <c r="I23" i="1" s="1"/>
  <c r="H24" i="1"/>
  <c r="G24" i="1"/>
  <c r="F24" i="1"/>
  <c r="F23" i="1"/>
  <c r="E23" i="1"/>
  <c r="E44" i="1" s="1"/>
  <c r="D23" i="1"/>
  <c r="H16" i="1"/>
  <c r="F16" i="1"/>
  <c r="D16" i="1"/>
  <c r="I34" i="1" l="1"/>
  <c r="I26" i="1" s="1"/>
  <c r="I44" i="1" s="1"/>
  <c r="H128" i="1"/>
  <c r="F391" i="1"/>
  <c r="I107" i="1"/>
  <c r="I150" i="1"/>
  <c r="H134" i="1"/>
  <c r="E184" i="1"/>
  <c r="F107" i="1"/>
  <c r="F423" i="1"/>
  <c r="G413" i="1"/>
  <c r="G299" i="1"/>
  <c r="E107" i="1"/>
  <c r="F253" i="1"/>
  <c r="G253" i="1" s="1"/>
  <c r="G249" i="1"/>
  <c r="F44" i="1"/>
  <c r="G295" i="1"/>
  <c r="F299" i="1"/>
  <c r="H380" i="1"/>
  <c r="H391" i="1" s="1"/>
  <c r="G133" i="1"/>
  <c r="H28" i="1"/>
  <c r="H27" i="1" s="1"/>
  <c r="G34" i="1"/>
  <c r="H140" i="1"/>
  <c r="H139" i="1" s="1"/>
  <c r="H97" i="1"/>
  <c r="H96" i="1" s="1"/>
  <c r="H95" i="1" s="1"/>
  <c r="H107" i="1" s="1"/>
  <c r="G128" i="1"/>
  <c r="G175" i="1"/>
  <c r="G380" i="1"/>
  <c r="G391" i="1" s="1"/>
  <c r="G204" i="1"/>
  <c r="H25" i="1"/>
  <c r="H23" i="1" s="1"/>
  <c r="G350" i="1"/>
  <c r="H133" i="1" l="1"/>
  <c r="H150" i="1" s="1"/>
  <c r="H34" i="1"/>
  <c r="H26" i="1" s="1"/>
  <c r="H44" i="1" s="1"/>
  <c r="G26" i="1"/>
  <c r="G44" i="1" s="1"/>
  <c r="G150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<sst xmlns="http://schemas.openxmlformats.org/spreadsheetml/2006/main" count="359" uniqueCount="152">
  <si>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</si>
  <si>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</si>
  <si>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</si>
  <si>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</si>
  <si>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</si>
  <si>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</si>
  <si>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</si>
  <si>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</si>
  <si>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</si>
  <si>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</si>
  <si>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</si>
  <si>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</si>
  <si>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</si>
  <si>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</si>
  <si>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</si>
  <si>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</si>
  <si>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</si>
  <si>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</si>
  <si>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</si>
  <si>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</si>
  <si>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</si>
  <si>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</si>
  <si>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</si>
  <si>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</si>
  <si>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</si>
  <si>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</si>
  <si>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</si>
  <si>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</si>
  <si>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</si>
  <si>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</si>
  <si>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</si>
  <si>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</si>
  <si>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</si>
  <si>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</si>
  <si>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</si>
  <si>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</si>
  <si>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</si>
  <si>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</si>
  <si>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</si>
  <si>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</si>
  <si>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</si>
  <si>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</si>
  <si>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</si>
  <si>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</si>
  <si>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</si>
  <si>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</si>
  <si>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</si>
  <si>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</si>
  <si>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</si>
  <si>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</si>
  <si>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</si>
  <si>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</si>
  <si>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</si>
  <si>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</si>
  <si>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</si>
  <si>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</si>
  <si>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</si>
  <si>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</si>
  <si>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</si>
  <si>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</si>
  <si>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</si>
  <si>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</si>
  <si>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</si>
  <si>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</si>
  <si>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</si>
  <si>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</si>
  <si>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</si>
  <si>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</si>
  <si>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</si>
  <si>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</si>
  <si>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</si>
  <si>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</si>
  <si>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</si>
  <si>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</si>
  <si>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</si>
  <si>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</si>
  <si>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</si>
  <si>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</si>
  <si>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</si>
  <si>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</si>
  <si>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</si>
  <si>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</si>
  <si>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</si>
  <si>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</si>
  <si>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</si>
  <si>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</si>
  <si>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</si>
  <si>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</si>
  <si>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</si>
  <si>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</si>
  <si>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</si>
  <si>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</si>
  <si>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</si>
  <si>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</si>
  <si>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</si>
  <si>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</si>
  <si>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</si>
  <si>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</si>
  <si>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</si>
  <si>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</si>
  <si>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</si>
  <si>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</si>
  <si>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</si>
  <si>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</si>
  <si>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</si>
  <si>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</si>
  <si>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</si>
  <si>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</si>
  <si>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</si>
  <si>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</si>
  <si>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</si>
  <si>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</si>
  <si>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</si>
  <si>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</si>
  <si>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</si>
  <si>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</si>
  <si>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</si>
  <si>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</si>
  <si>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</si>
  <si>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</si>
  <si>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</si>
  <si>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</si>
  <si>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</si>
  <si>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</si>
  <si>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</si>
  <si>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</si>
  <si>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</si>
  <si>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</si>
  <si>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</si>
  <si>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</si>
  <si>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</si>
  <si>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</si>
  <si>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</si>
  <si>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</si>
  <si>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</si>
  <si>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</si>
  <si>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</si>
  <si>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</si>
  <si>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</si>
  <si>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</si>
  <si>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</si>
  <si>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</si>
  <si>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</si>
  <si>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</si>
  <si>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11</t>
  </si>
  <si>
    <t>FANGST T.O.M UKE 11</t>
  </si>
  <si>
    <t>RESTKVOTER UKE 11</t>
  </si>
  <si>
    <t>FANGST T.O.M UKE 11 2023</t>
  </si>
  <si>
    <r>
      <t xml:space="preserve">3 </t>
    </r>
    <r>
      <rPr>
        <sz val="9"/>
        <color indexed="8"/>
        <rFont val="Calibri"/>
        <family val="2"/>
      </rPr>
      <t>Registrert rekreasjonsfiske utgjør 298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</si>
  <si>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</si>
  <si>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100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</si>
  <si>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618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</si>
</sst>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7" fillId="0" borderId="2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9" fillId="0" borderId="8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9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3" fontId="7" fillId="2" borderId="8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3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4" fillId="0" borderId="33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47" xfId="0" applyFont="1" applyFill="1" applyBorder="1" applyAlignment="1">
      <alignment horizontal="center" vertical="center"/>
    </xf>
  </cellXfs>
  <cellStyles count="2">
    <cellStyle name="20 % - uthevingsfarge 1" xfId="1" xr:uid="{30ED7E6F-33AF-46BD-BEC4-50F0381BFD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D7" sqref="D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953.54721000000006</v>
      </c>
      <c r="G23" s="28">
        <f t="shared" si="0"/>
        <v>22054.817369999997</v>
      </c>
      <c r="H23" s="11">
        <f t="shared" si="0"/>
        <v>38757.182630000003</v>
      </c>
      <c r="I23" s="11">
        <f t="shared" si="0"/>
        <v>27794.222429999998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951.73692</f>
        <v>951.73692000000005</v>
      </c>
      <c r="G24" s="23">
        <f>21779.40558</f>
        <v>21779.405579999999</v>
      </c>
      <c r="H24" s="23">
        <f>E24-G24</f>
        <v>38262.594420000001</v>
      </c>
      <c r="I24" s="23">
        <f>27737.42343</f>
        <v>27737.423429999999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1.81029</f>
        <v>1.81029</v>
      </c>
      <c r="G25" s="23">
        <f>275.41179</f>
        <v>275.41179</v>
      </c>
      <c r="H25" s="23">
        <f>E25-G25</f>
        <v>494.58821</v>
      </c>
      <c r="I25" s="23">
        <f>56.799</f>
        <v>56.798999999999999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9716.9905400000007</v>
      </c>
      <c r="G26" s="11">
        <f t="shared" si="1"/>
        <v>71347.253240000005</v>
      </c>
      <c r="H26" s="11">
        <f t="shared" si="1"/>
        <v>73526.746759999995</v>
      </c>
      <c r="I26" s="11">
        <f t="shared" si="1"/>
        <v>69657.738680000009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8207.4536200000002</v>
      </c>
      <c r="G27" s="132">
        <f t="shared" ref="G27:I27" si="2">G28+G29+G30+G31+G32</f>
        <v>60750.623460000003</v>
      </c>
      <c r="H27" s="132">
        <f t="shared" si="2"/>
        <v>52227.376539999997</v>
      </c>
      <c r="I27" s="132">
        <f t="shared" si="2"/>
        <v>56337.070950000008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2771.31191</f>
        <v>2771.3119099999999</v>
      </c>
      <c r="G28" s="127">
        <f>14787.32253 - F56</f>
        <v>14787.322529999999</v>
      </c>
      <c r="H28" s="127">
        <f t="shared" ref="H28:H40" si="3">E28-G28</f>
        <v>13842.677470000001</v>
      </c>
      <c r="I28" s="127">
        <f>13154.50969 - H56</f>
        <v>13154.509690000001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2884.52436</f>
        <v>2884.5243599999999</v>
      </c>
      <c r="G29" s="127">
        <f>18362.82786 - F57</f>
        <v>18362.827860000001</v>
      </c>
      <c r="H29" s="127">
        <f t="shared" si="3"/>
        <v>11302.172139999999</v>
      </c>
      <c r="I29" s="127">
        <f>16821.50068 - H57</f>
        <v>16821.500680000001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1507.46943</f>
        <v>1507.4694300000001</v>
      </c>
      <c r="G30" s="127">
        <f>15112.79562 - F58</f>
        <v>15112.795620000001</v>
      </c>
      <c r="H30" s="127">
        <f t="shared" si="3"/>
        <v>12131.204379999999</v>
      </c>
      <c r="I30" s="127">
        <f>14323.11428 - H58</f>
        <v>14323.11428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1044.14792</f>
        <v>1044.1479200000001</v>
      </c>
      <c r="G31" s="127">
        <f>12487.67745 - F59</f>
        <v>12487.677449999999</v>
      </c>
      <c r="H31" s="127">
        <f t="shared" si="3"/>
        <v>6851.3225500000008</v>
      </c>
      <c r="I31" s="127">
        <f>12037.9463 - H59</f>
        <v>12037.9463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103.15289</f>
        <v>103.15289</v>
      </c>
      <c r="G33" s="132">
        <f>4832.94737</f>
        <v>4832.9473699999999</v>
      </c>
      <c r="H33" s="132">
        <f t="shared" si="3"/>
        <v>12026.05263</v>
      </c>
      <c r="I33" s="132">
        <f>7337.50431</f>
        <v>7337.5043100000003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1406.3840299999999</v>
      </c>
      <c r="G34" s="132">
        <f>G35+G36</f>
        <v>5763.6824100000003</v>
      </c>
      <c r="H34" s="132">
        <f t="shared" si="3"/>
        <v>9273.3175899999987</v>
      </c>
      <c r="I34" s="132">
        <f>I35+I36</f>
        <v>5983.1634199999999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1406.38403</f>
        <v>1406.3840299999999</v>
      </c>
      <c r="G35" s="132">
        <f>6385.68241 - F60 - F61</f>
        <v>5763.6824100000003</v>
      </c>
      <c r="H35" s="127">
        <f t="shared" si="3"/>
        <v>8313.3175899999987</v>
      </c>
      <c r="I35" s="127">
        <f>6180.16342 - H60 - H61</f>
        <v>5983.1634199999999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22.4112</f>
        <v>22.411200000000001</v>
      </c>
      <c r="G37" s="139">
        <f>34.5712</f>
        <v>34.571199999999997</v>
      </c>
      <c r="H37" s="139">
        <f t="shared" si="3"/>
        <v>1965.4287999999999</v>
      </c>
      <c r="I37" s="139">
        <f>39.1272</f>
        <v>39.127200000000002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52.9357</f>
        <v>52.935699999999997</v>
      </c>
      <c r="G38" s="98">
        <f>255.91309</f>
        <v>255.91309000000001</v>
      </c>
      <c r="H38" s="98">
        <f t="shared" si="3"/>
        <v>599.08690999999999</v>
      </c>
      <c r="I38" s="98">
        <f>204.42253</f>
        <v>204.42252999999999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352</v>
      </c>
      <c r="G39" s="98">
        <f>F61</f>
        <v>622</v>
      </c>
      <c r="H39" s="98">
        <f t="shared" si="3"/>
        <v>2378</v>
      </c>
      <c r="I39" s="98">
        <f>H61</f>
        <v>197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63.66095</f>
        <v>63.66095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48.9821</f>
        <v>48.982100000000003</v>
      </c>
      <c r="G41" s="98">
        <f>87.0516</f>
        <v>87.051599999999993</v>
      </c>
      <c r="H41" s="98">
        <f>E41-G41</f>
        <v>312.94839999999999</v>
      </c>
      <c r="I41" s="98">
        <f>63.08445</f>
        <v>63.084449999999997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7.49</f>
        <v>7.49</v>
      </c>
      <c r="G43" s="139">
        <f>43.2655</f>
        <v>43.265500000000003</v>
      </c>
      <c r="H43" s="139">
        <f t="shared" ref="H43" si="4">E43-G43</f>
        <v>-43.265500000000003</v>
      </c>
      <c r="I43" s="139">
        <f>13.9115</f>
        <v>13.9115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11218.0177</v>
      </c>
      <c r="G44" s="76">
        <f t="shared" si="5"/>
        <v>101444.876</v>
      </c>
      <c r="H44" s="76">
        <f t="shared" si="5"/>
        <v>117596.124</v>
      </c>
      <c r="I44" s="76">
        <f t="shared" si="5"/>
        <v>104969.50679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thickBot="1" x14ac:dyDescent="0.3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thickBot="1" x14ac:dyDescent="0.3">
      <c r="A61" s="101"/>
      <c r="B61" s="24"/>
      <c r="C61" s="142" t="s">
        <v>47</v>
      </c>
      <c r="D61" s="139">
        <v>3000</v>
      </c>
      <c r="E61" s="139">
        <v>352</v>
      </c>
      <c r="F61" s="139">
        <v>622</v>
      </c>
      <c r="G61" s="139">
        <f>D61-F61</f>
        <v>2378</v>
      </c>
      <c r="H61" s="139">
        <v>197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1.7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1584.6078499999999</v>
      </c>
      <c r="G92" s="11">
        <f t="shared" si="6"/>
        <v>13093.473050000001</v>
      </c>
      <c r="H92" s="11">
        <f t="shared" si="6"/>
        <v>12867.526949999999</v>
      </c>
      <c r="I92" s="11">
        <f t="shared" si="6"/>
        <v>9288.6190800000004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1572.2112</f>
        <v>1572.2112</v>
      </c>
      <c r="G93" s="23">
        <f>12858.6304</f>
        <v>12858.6304</v>
      </c>
      <c r="H93" s="23">
        <f>E93-G93</f>
        <v>12277.3696</v>
      </c>
      <c r="I93" s="23">
        <f>9230.78508</f>
        <v>9230.7850799999997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12.39665</f>
        <v>12.396649999999999</v>
      </c>
      <c r="G94" s="50">
        <f>234.84265</f>
        <v>234.84264999999999</v>
      </c>
      <c r="H94" s="50">
        <f>E94-G94</f>
        <v>590.15734999999995</v>
      </c>
      <c r="I94" s="50">
        <f>57.834</f>
        <v>57.834000000000003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1570.73154</v>
      </c>
      <c r="G95" s="11">
        <f t="shared" si="7"/>
        <v>13792.565049999999</v>
      </c>
      <c r="H95" s="11">
        <f t="shared" si="7"/>
        <v>35201.434950000003</v>
      </c>
      <c r="I95" s="11">
        <f t="shared" si="7"/>
        <v>9143.8837500000009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1487.4953399999999</v>
      </c>
      <c r="G96" s="132">
        <f t="shared" si="8"/>
        <v>9218.5378199999996</v>
      </c>
      <c r="H96" s="132">
        <f t="shared" si="8"/>
        <v>28275.462180000002</v>
      </c>
      <c r="I96" s="132">
        <f t="shared" si="8"/>
        <v>5168.9481500000002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208.61099</f>
        <v>208.61098999999999</v>
      </c>
      <c r="G97" s="127">
        <f>2533.29507</f>
        <v>2533.2950700000001</v>
      </c>
      <c r="H97" s="127">
        <f t="shared" ref="H97:H104" si="9">E97-G97</f>
        <v>7481.7049299999999</v>
      </c>
      <c r="I97" s="127">
        <f>1235.53238</f>
        <v>1235.5323800000001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455.27421</f>
        <v>455.27420999999998</v>
      </c>
      <c r="G98" s="127">
        <f>3417.93906</f>
        <v>3417.9390600000002</v>
      </c>
      <c r="H98" s="127">
        <f t="shared" si="9"/>
        <v>7196.0609399999994</v>
      </c>
      <c r="I98" s="127">
        <f>1607.59331</f>
        <v>1607.59331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477.38515</f>
        <v>477.38515000000001</v>
      </c>
      <c r="G99" s="127">
        <f>2297.91066</f>
        <v>2297.91066</v>
      </c>
      <c r="H99" s="127">
        <f t="shared" si="9"/>
        <v>7814.0893400000004</v>
      </c>
      <c r="I99" s="127">
        <f>1227.98551</f>
        <v>1227.98551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346.22499</f>
        <v>346.22498999999999</v>
      </c>
      <c r="G100" s="127">
        <f>969.39303</f>
        <v>969.39302999999995</v>
      </c>
      <c r="H100" s="127">
        <f t="shared" si="9"/>
        <v>5783.6069699999998</v>
      </c>
      <c r="I100" s="127">
        <f>1097.83695</f>
        <v>1097.8369499999999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4.8791</f>
        <v>4.8791000000000002</v>
      </c>
      <c r="G101" s="132">
        <f>3424.21686</f>
        <v>3424.21686</v>
      </c>
      <c r="H101" s="132">
        <f t="shared" si="9"/>
        <v>4171.7831399999995</v>
      </c>
      <c r="I101" s="132">
        <f>3292.80492</f>
        <v>3292.80492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78.3571</f>
        <v>78.357100000000003</v>
      </c>
      <c r="G102" s="75">
        <f>1149.81037</f>
        <v>1149.8103699999999</v>
      </c>
      <c r="H102" s="75">
        <f t="shared" si="9"/>
        <v>2754.1896299999999</v>
      </c>
      <c r="I102" s="75">
        <f>682.13068</f>
        <v>682.13067999999998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0.34328</f>
        <v>0.34327999999999997</v>
      </c>
      <c r="G103" s="98">
        <f>21.82895</f>
        <v>21.828949999999999</v>
      </c>
      <c r="H103" s="98">
        <f t="shared" si="9"/>
        <v>297.17104999999998</v>
      </c>
      <c r="I103" s="98">
        <f>10.53618</f>
        <v>10.53618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5.27659</f>
        <v>5.2765899999999997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0.66664</f>
        <v>0.66664000000000001</v>
      </c>
      <c r="G105" s="98">
        <f>6.28963</f>
        <v>6.2896299999999998</v>
      </c>
      <c r="H105" s="139">
        <f>E105-G105</f>
        <v>43.710369999999998</v>
      </c>
      <c r="I105" s="98">
        <f>3.86156</f>
        <v>3.8615599999999999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0.147</f>
        <v>0.14699999999999999</v>
      </c>
      <c r="G106" s="139">
        <f>3.1193</f>
        <v>3.1193</v>
      </c>
      <c r="H106" s="139">
        <f t="shared" ref="H106" si="10">E106-G106</f>
        <v>-3.1193</v>
      </c>
      <c r="I106" s="139">
        <f>8.63268</f>
        <v>8.6326800000000006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3161.7728999999999</v>
      </c>
      <c r="G107" s="76">
        <f t="shared" si="12"/>
        <v>27217.275979999995</v>
      </c>
      <c r="H107" s="76">
        <f t="shared" si="12"/>
        <v>48406.724020000001</v>
      </c>
      <c r="I107" s="76">
        <f t="shared" si="12"/>
        <v>18755.53325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149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3101.9130999999998</v>
      </c>
      <c r="G128" s="11">
        <f t="shared" si="13"/>
        <v>19808.72133</v>
      </c>
      <c r="H128" s="11">
        <f t="shared" si="13"/>
        <v>52498.27867</v>
      </c>
      <c r="I128" s="11">
        <f t="shared" si="13"/>
        <v>23970.907589999999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2369.29436</f>
        <v>2369.2943599999999</v>
      </c>
      <c r="G129" s="23">
        <f>16909.76014</f>
        <v>16909.760139999999</v>
      </c>
      <c r="H129" s="23">
        <f>E129-G129</f>
        <v>40652.239860000001</v>
      </c>
      <c r="I129" s="23">
        <f>20833.93576</f>
        <v>20833.93576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732.25074</f>
        <v>732.25073999999995</v>
      </c>
      <c r="G130" s="23">
        <f>2836.06104</f>
        <v>2836.06104</v>
      </c>
      <c r="H130" s="23">
        <f>E130-G130</f>
        <v>11408.938959999999</v>
      </c>
      <c r="I130" s="23">
        <f>3025.58558</f>
        <v>3025.5855799999999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0.368</f>
        <v>0.36799999999999999</v>
      </c>
      <c r="G131" s="23">
        <f>62.90015</f>
        <v>62.900149999999996</v>
      </c>
      <c r="H131" s="55">
        <f>E131-G131</f>
        <v>437.09985</v>
      </c>
      <c r="I131" s="23">
        <f>111.38625</f>
        <v>111.38625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</f>
        <v>0</v>
      </c>
      <c r="G132" s="95">
        <f>18.09185+618.003155</f>
        <v>636.09500500000001</v>
      </c>
      <c r="H132" s="95">
        <f>E132-G132</f>
        <v>51859.904994999997</v>
      </c>
      <c r="I132" s="95">
        <f>13.31695</f>
        <v>13.31695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2291.6804300000003</v>
      </c>
      <c r="G133" s="94">
        <f t="shared" ref="G133" si="14">G134+G139+G142</f>
        <v>32422.214994999995</v>
      </c>
      <c r="H133" s="94">
        <f>H134+H139+H142</f>
        <v>47742.785005000005</v>
      </c>
      <c r="I133" s="94">
        <f>I134+I139+I142</f>
        <v>29587.743009999998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1701.14291</v>
      </c>
      <c r="G134" s="125">
        <f>G135+G136+G138+G137</f>
        <v>25741.987544999996</v>
      </c>
      <c r="H134" s="125">
        <f>H135+H136+H137+H138</f>
        <v>33337.012455000004</v>
      </c>
      <c r="I134" s="125">
        <f>I135+I136+I137+I138</f>
        <v>25259.297429999999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254.77479</f>
        <v>254.77479</v>
      </c>
      <c r="G135" s="127">
        <v>4891.5496199999998</v>
      </c>
      <c r="H135" s="127">
        <f>E135-G135</f>
        <v>12882.45038</v>
      </c>
      <c r="I135" s="127">
        <f>3972.88882</f>
        <v>3972.8888200000001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361.93998</f>
        <v>361.93997999999999</v>
      </c>
      <c r="G136" s="127">
        <v>8525.0017249999983</v>
      </c>
      <c r="H136" s="127">
        <f>E136-G136</f>
        <v>6413.9982750000017</v>
      </c>
      <c r="I136" s="127">
        <f>7768.89277</f>
        <v>7768.8927700000004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418.62912</f>
        <v>418.62912</v>
      </c>
      <c r="G137" s="127">
        <v>6327.1046900000001</v>
      </c>
      <c r="H137" s="127">
        <f>E137-G137</f>
        <v>6723.8953099999999</v>
      </c>
      <c r="I137" s="127">
        <f>6213.43777</f>
        <v>6213.4377699999995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665.79902</f>
        <v>665.79902000000004</v>
      </c>
      <c r="G138" s="127">
        <v>5998.33151</v>
      </c>
      <c r="H138" s="127">
        <f>E138-G138</f>
        <v>7316.66849</v>
      </c>
      <c r="I138" s="127">
        <f>7304.07807</f>
        <v>7304.0780699999996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406.11702000000002</v>
      </c>
      <c r="G139" s="132">
        <f>SUM(G140:G141)</f>
        <v>4650.3738800000001</v>
      </c>
      <c r="H139" s="132">
        <f>H140+H141</f>
        <v>4279.6261199999999</v>
      </c>
      <c r="I139" s="132">
        <f>SUM(I140:I141)</f>
        <v>2838.3756400000002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400.15902</f>
        <v>400.15902</v>
      </c>
      <c r="G140" s="127">
        <f>4529.14961</f>
        <v>4529.1496100000004</v>
      </c>
      <c r="H140" s="127">
        <f t="shared" ref="H140:H148" si="15">E140-G140</f>
        <v>3900.8503899999996</v>
      </c>
      <c r="I140" s="127">
        <f>2770.08185</f>
        <v>2770.08185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5.958</f>
        <v>5.9580000000000002</v>
      </c>
      <c r="G141" s="127">
        <f>121.22427</f>
        <v>121.22427</v>
      </c>
      <c r="H141" s="127">
        <f t="shared" si="15"/>
        <v>378.77573000000001</v>
      </c>
      <c r="I141" s="127">
        <f>68.29379</f>
        <v>68.293790000000001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184.4205</f>
        <v>184.4205</v>
      </c>
      <c r="G142" s="75">
        <f>2029.85357</f>
        <v>2029.85357</v>
      </c>
      <c r="H142" s="75">
        <f t="shared" si="15"/>
        <v>10126.146430000001</v>
      </c>
      <c r="I142" s="75">
        <f>1490.06994</f>
        <v>1490.0699400000001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0.37941</f>
        <v>0.37941000000000003</v>
      </c>
      <c r="G143" s="139">
        <f>8.58458</f>
        <v>8.5845800000000008</v>
      </c>
      <c r="H143" s="139">
        <f t="shared" si="15"/>
        <v>137.41542000000001</v>
      </c>
      <c r="I143" s="139">
        <f>13.87708</f>
        <v>13.877079999999999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16.33695</f>
        <v>16.336950000000002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1.27005</f>
        <v>1.2700499999999999</v>
      </c>
      <c r="G147" s="98">
        <f>19.16643</f>
        <v>19.166429999999998</v>
      </c>
      <c r="H147" s="139">
        <f t="shared" si="15"/>
        <v>256.83357000000001</v>
      </c>
      <c r="I147" s="98">
        <f>16.30515</f>
        <v>16.305150000000001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35.2235</f>
        <v>35.223500000000001</v>
      </c>
      <c r="H148" s="139">
        <f t="shared" si="15"/>
        <v>-35.223500000000001</v>
      </c>
      <c r="I148" s="139">
        <f>60.1708</f>
        <v>60.1708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5411.5799399999996</v>
      </c>
      <c r="G150" s="76">
        <f>G128+G132+G133+G143+G144+G145+G146+G147+G148</f>
        <v>54930.005839999998</v>
      </c>
      <c r="H150" s="76">
        <f>H128+H132+H133+H143+H144+H145+H146+H147+H148</f>
        <v>152709.99416</v>
      </c>
      <c r="I150" s="76">
        <f>I128+I132+I133+I143+I144+I145+I146+I147+I148</f>
        <v>55662.32058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150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8.27422</f>
        <v>8.2742199999999997</v>
      </c>
      <c r="F175" s="275">
        <f>254.09016</f>
        <v>254.09016</v>
      </c>
      <c r="G175" s="43">
        <f>D175-F175-F176</f>
        <v>3705.27135</v>
      </c>
      <c r="H175" s="275">
        <f>336.69871</f>
        <v>336.69871000000001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263.63849</f>
        <v>263.63848999999999</v>
      </c>
      <c r="G176" s="216"/>
      <c r="H176" s="152">
        <f>170.2337</f>
        <v>170.2337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5.8086</f>
        <v>5.8086000000000002</v>
      </c>
      <c r="G177" s="172">
        <f>D177-F177</f>
        <v>194.19139999999999</v>
      </c>
      <c r="H177" s="172">
        <f>19.02122</f>
        <v>19.02122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6.76912</v>
      </c>
      <c r="F178" s="181">
        <f>F179+F180+F181</f>
        <v>27.750830000000001</v>
      </c>
      <c r="G178" s="181">
        <f>D178-F178</f>
        <v>6306.24917</v>
      </c>
      <c r="H178" s="181">
        <f>H179+H180+H181</f>
        <v>4.5939800000000002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4.6444</f>
        <v>4.6444000000000001</v>
      </c>
      <c r="F179" s="127">
        <f>12.58897</f>
        <v>12.58897</v>
      </c>
      <c r="G179" s="127"/>
      <c r="H179" s="127">
        <f>0.7636</f>
        <v>0.76359999999999995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1.2668</f>
        <v>1.2667999999999999</v>
      </c>
      <c r="F180" s="127">
        <f>8.19734</f>
        <v>8.1973400000000005</v>
      </c>
      <c r="G180" s="127"/>
      <c r="H180" s="127">
        <f>2.76882</f>
        <v>2.7688199999999998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0.85792</f>
        <v>0.85792000000000002</v>
      </c>
      <c r="F181" s="192">
        <f>6.96452</f>
        <v>6.9645200000000003</v>
      </c>
      <c r="G181" s="192"/>
      <c r="H181" s="192">
        <f>1.06156</f>
        <v>1.0615600000000001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15.043340000000001</v>
      </c>
      <c r="F184" s="194">
        <f>F175+F176+F177+F178+F182+F183</f>
        <v>551.28807999999992</v>
      </c>
      <c r="G184" s="194">
        <f>D184-F184</f>
        <v>10271.71192</v>
      </c>
      <c r="H184" s="194">
        <f>H175+H176+H177+H178+H182+H183</f>
        <v>530.54760999999996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336.87615</f>
        <v>336.87615</v>
      </c>
      <c r="F204" s="124">
        <f>12799.39205</f>
        <v>12799.39205</v>
      </c>
      <c r="G204" s="124">
        <f>D204-F204</f>
        <v>33482.607949999998</v>
      </c>
      <c r="H204" s="124">
        <f>6071.90267</f>
        <v>6071.9026700000004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0.072</f>
        <v>7.1999999999999995E-2</v>
      </c>
      <c r="F205" s="124">
        <f>1.31645</f>
        <v>1.3164499999999999</v>
      </c>
      <c r="G205" s="124">
        <f>D205-F205</f>
        <v>98.683549999999997</v>
      </c>
      <c r="H205" s="124">
        <f>0.6428</f>
        <v>0.64280000000000004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336.94815</v>
      </c>
      <c r="F207" s="190">
        <f>SUM(F204:F206)</f>
        <v>12800.708500000001</v>
      </c>
      <c r="G207" s="190">
        <f>D207-F207</f>
        <v>33617.291499999999</v>
      </c>
      <c r="H207" s="190">
        <f>SUM(H204:H206)</f>
        <v>6072.54547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47.147289999999998</v>
      </c>
      <c r="F249" s="75">
        <f>F250+F251</f>
        <v>905.52305999999999</v>
      </c>
      <c r="G249" s="75">
        <f>D249-F249</f>
        <v>3081.47694</v>
      </c>
      <c r="H249" s="75">
        <f>H250+H251</f>
        <v>513.42415000000005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11.70298</f>
        <v>11.70298</v>
      </c>
      <c r="F250" s="75">
        <f>670.23676</f>
        <v>670.23676</v>
      </c>
      <c r="G250" s="75"/>
      <c r="H250" s="75">
        <f>299.66145</f>
        <v>299.66145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35.44431</f>
        <v>35.444310000000002</v>
      </c>
      <c r="F251" s="124">
        <f>235.2863</f>
        <v>235.28630000000001</v>
      </c>
      <c r="G251" s="168"/>
      <c r="H251" s="124">
        <f>213.7627</f>
        <v>213.7627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178.64773</f>
        <v>178.64773</v>
      </c>
      <c r="F252" s="75">
        <f>1297.29444</f>
        <v>1297.2944399999999</v>
      </c>
      <c r="G252" s="75">
        <f>D252-F252</f>
        <v>3315.7055600000003</v>
      </c>
      <c r="H252" s="75">
        <f>1043.11395</f>
        <v>1043.1139499999999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272.94231000000002</v>
      </c>
      <c r="F253" s="190">
        <f>SUM(F249:F252)</f>
        <v>3108.3405599999996</v>
      </c>
      <c r="G253" s="190">
        <f>D253-F253</f>
        <v>5491.6594400000004</v>
      </c>
      <c r="H253" s="190">
        <f>SUM(H249:H252)</f>
        <v>2069.96225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18.68168</v>
      </c>
      <c r="F295" s="75">
        <f>F296+F297</f>
        <v>884.81321000000003</v>
      </c>
      <c r="G295" s="75">
        <f>D295-F295</f>
        <v>4205.1867899999997</v>
      </c>
      <c r="H295" s="75">
        <f>H296+H297</f>
        <v>355.65413000000001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3.77134</f>
        <v>3.7713399999999999</v>
      </c>
      <c r="F296" s="75">
        <f>729.68129</f>
        <v>729.68128999999999</v>
      </c>
      <c r="G296" s="75"/>
      <c r="H296" s="75">
        <f>235.84238</f>
        <v>235.84237999999999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14.91034</f>
        <v>14.91034</v>
      </c>
      <c r="F297" s="124">
        <f>155.13192</f>
        <v>155.13192000000001</v>
      </c>
      <c r="G297" s="168"/>
      <c r="H297" s="124">
        <f>119.81175</f>
        <v>119.81175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120.78264</f>
        <v>120.78264</v>
      </c>
      <c r="F298" s="75">
        <f>938.0002</f>
        <v>938.00019999999995</v>
      </c>
      <c r="G298" s="75">
        <f>D298-F298</f>
        <v>2042.9998000000001</v>
      </c>
      <c r="H298" s="75">
        <f>707.04314</f>
        <v>707.04313999999999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158.14600000000002</v>
      </c>
      <c r="F299" s="190">
        <f>SUM(F295:F298)</f>
        <v>2707.62662</v>
      </c>
      <c r="G299" s="190">
        <f>D299-F299</f>
        <v>5363.37338</v>
      </c>
      <c r="H299" s="190">
        <f>SUM(H295:H298)</f>
        <v>1418.3514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7.79567</f>
        <v>7.7956700000000003</v>
      </c>
      <c r="F350" s="124">
        <f>102.76269</f>
        <v>102.76269000000001</v>
      </c>
      <c r="G350" s="124">
        <f>D350-F350</f>
        <v>697.23730999999998</v>
      </c>
      <c r="H350" s="124">
        <f>72.93371</f>
        <v>72.933710000000005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39.16623</f>
        <v>39.166229999999999</v>
      </c>
      <c r="F351" s="124">
        <f>331.37931</f>
        <v>331.37930999999998</v>
      </c>
      <c r="G351" s="124">
        <f>D351-F351</f>
        <v>2709.6206900000002</v>
      </c>
      <c r="H351" s="124">
        <f>348.47728</f>
        <v>348.47728000000001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0.19022</f>
        <v>0.19022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46.9619</v>
      </c>
      <c r="F354" s="190">
        <f>SUM(F350:F353)</f>
        <v>434.79906</v>
      </c>
      <c r="G354" s="190">
        <f>D354-F354</f>
        <v>3416.2009400000002</v>
      </c>
      <c r="H354" s="190">
        <f>H350+H351+H352+H353</f>
        <v>421.69125000000003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165.45599999999999</v>
      </c>
      <c r="G380" s="252">
        <f t="shared" si="17"/>
        <v>3731.08464</v>
      </c>
      <c r="H380" s="252">
        <f>H384+H383+H382+H381</f>
        <v>19237.915359999999</v>
      </c>
      <c r="I380" s="252">
        <f t="shared" si="17"/>
        <v>2618.0348800000002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38.34</f>
        <v>38.340000000000003</v>
      </c>
      <c r="G381" s="256">
        <f>2983.43959</f>
        <v>2983.43959</v>
      </c>
      <c r="H381" s="256">
        <f t="shared" ref="H381:H385" si="18">E381-G381</f>
        <v>10206.56041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66.285</f>
        <v>66.284999999999997</v>
      </c>
      <c r="G382" s="256">
        <f>253.9944</f>
        <v>253.99440000000001</v>
      </c>
      <c r="H382" s="256">
        <f t="shared" si="18"/>
        <v>3179.0056</v>
      </c>
      <c r="I382" s="256">
        <f>432</f>
        <v>432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52.5042</f>
        <v>52.504199999999997</v>
      </c>
      <c r="G383" s="256">
        <f>467.76565</f>
        <v>467.76564999999999</v>
      </c>
      <c r="H383" s="256">
        <f t="shared" si="18"/>
        <v>1015.2343499999999</v>
      </c>
      <c r="I383" s="256">
        <f>323.66185</f>
        <v>323.66185000000002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8.3268</f>
        <v>8.3268000000000004</v>
      </c>
      <c r="G384" s="256">
        <f>25.885</f>
        <v>25.885000000000002</v>
      </c>
      <c r="H384" s="256">
        <f t="shared" si="18"/>
        <v>4837.1149999999998</v>
      </c>
      <c r="I384" s="256">
        <f>243.80885</f>
        <v>243.80885000000001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0.971</f>
        <v>0.97099999999999997</v>
      </c>
      <c r="H385" s="267">
        <f t="shared" si="18"/>
        <v>5499.0290000000005</v>
      </c>
      <c r="I385" s="267">
        <f>18.718</f>
        <v>18.718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33.304409999999997</v>
      </c>
      <c r="G386" s="268">
        <f>G388+G387</f>
        <v>1143.95156</v>
      </c>
      <c r="H386" s="268">
        <f>E386-G386</f>
        <v>6856.0484400000005</v>
      </c>
      <c r="I386" s="268">
        <f>I388+I387</f>
        <v>1403.2849700000002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33.30441</f>
        <v>33.304409999999997</v>
      </c>
      <c r="G388" s="277">
        <f>626.8778</f>
        <v>626.87779999999998</v>
      </c>
      <c r="H388" s="277"/>
      <c r="I388" s="277">
        <f>660.71137</f>
        <v>660.71136999999999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0.36996</f>
        <v>0.36996000000000001</v>
      </c>
      <c r="G390" s="267">
        <f>3.50012</f>
        <v>3.5001199999999999</v>
      </c>
      <c r="H390" s="267">
        <f>E390-G390</f>
        <v>-3.5001199999999999</v>
      </c>
      <c r="I390" s="267">
        <f>2.5084</f>
        <v>2.5084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199.13036999999997</v>
      </c>
      <c r="G391" s="286">
        <f t="shared" si="19"/>
        <v>4879.5337199999994</v>
      </c>
      <c r="H391" s="286">
        <f>H380+H385+H386+H389+H390</f>
        <v>31602.466280000001</v>
      </c>
      <c r="I391" s="286">
        <f t="shared" si="19"/>
        <v>4042.6029500000004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20.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1221.8409799999999</v>
      </c>
      <c r="G416" s="85">
        <f>D416-F416</f>
        <v>-161.84097999999994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982.47429</f>
        <v>982.47429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56.904620000000001</v>
      </c>
      <c r="F419" s="36">
        <f>SUM(F420:F421)</f>
        <v>142.65875</v>
      </c>
      <c r="G419" s="85">
        <f>D419-F419</f>
        <v>1092.3412499999999</v>
      </c>
      <c r="H419" s="36">
        <f>SUM(H420:H421)</f>
        <v>363.09208000000001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39.8877</f>
        <v>39.887700000000002</v>
      </c>
      <c r="F420" s="30">
        <f>103.1549</f>
        <v>103.1549</v>
      </c>
      <c r="G420" s="97"/>
      <c r="H420" s="30">
        <f>270.07188</f>
        <v>270.07188000000002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17.01692</f>
        <v>17.016919999999999</v>
      </c>
      <c r="F421" s="30">
        <f>39.50385</f>
        <v>39.50385</v>
      </c>
      <c r="G421" s="108"/>
      <c r="H421" s="30">
        <f>93.0202</f>
        <v>93.020200000000003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56.904620000000001</v>
      </c>
      <c r="F423" s="40">
        <f>F413+F416+F419+F422</f>
        <v>2352.9009599999999</v>
      </c>
      <c r="G423" s="41"/>
      <c r="H423" s="40">
        <f>H413+H416+H419+H422</f>
        <v>4094.92524</v>
      </c>
      <c r="I423" s="27"/>
      <c r="J423" s="130"/>
    </row>
    <row r="424" spans="1:10" ht="42" customHeight="1" x14ac:dyDescent="0.2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11&amp;R18.03.2024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2024-03-18T14:52:01Z</dcterms:modified>
</cp:coreProperties>
</file>