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85C19C4A-A0C8-486C-876A-D11A0791BC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5" i="1" s="1"/>
  <c r="G343" i="1"/>
  <c r="E336" i="1"/>
  <c r="H324" i="1"/>
  <c r="E324" i="1"/>
  <c r="D324" i="1"/>
  <c r="H323" i="1"/>
  <c r="F323" i="1"/>
  <c r="F324" i="1" s="1"/>
  <c r="E323" i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F294" i="1" s="1"/>
  <c r="E295" i="1"/>
  <c r="H294" i="1"/>
  <c r="H304" i="1" s="1"/>
  <c r="E294" i="1"/>
  <c r="E304" i="1" s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I262" i="1" s="1"/>
  <c r="I273" i="1" s="1"/>
  <c r="H266" i="1"/>
  <c r="G266" i="1"/>
  <c r="F266" i="1"/>
  <c r="I265" i="1"/>
  <c r="G265" i="1"/>
  <c r="G262" i="1" s="1"/>
  <c r="G273" i="1" s="1"/>
  <c r="F265" i="1"/>
  <c r="I264" i="1"/>
  <c r="H264" i="1"/>
  <c r="G264" i="1"/>
  <c r="F264" i="1"/>
  <c r="I263" i="1"/>
  <c r="G263" i="1"/>
  <c r="H263" i="1" s="1"/>
  <c r="F263" i="1"/>
  <c r="F262" i="1"/>
  <c r="F273" i="1" s="1"/>
  <c r="E262" i="1"/>
  <c r="E273" i="1" s="1"/>
  <c r="D262" i="1"/>
  <c r="H254" i="1"/>
  <c r="F254" i="1"/>
  <c r="H241" i="1"/>
  <c r="D241" i="1"/>
  <c r="G241" i="1" s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F237" i="1"/>
  <c r="F241" i="1" s="1"/>
  <c r="E237" i="1"/>
  <c r="E241" i="1" s="1"/>
  <c r="D219" i="1"/>
  <c r="H218" i="1"/>
  <c r="F218" i="1"/>
  <c r="G218" i="1" s="1"/>
  <c r="E218" i="1"/>
  <c r="H217" i="1"/>
  <c r="F217" i="1"/>
  <c r="F215" i="1" s="1"/>
  <c r="E217" i="1"/>
  <c r="H216" i="1"/>
  <c r="F216" i="1"/>
  <c r="E216" i="1"/>
  <c r="E215" i="1" s="1"/>
  <c r="E219" i="1" s="1"/>
  <c r="H215" i="1"/>
  <c r="H219" i="1" s="1"/>
  <c r="D206" i="1"/>
  <c r="G206" i="1" s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E202" i="1" s="1"/>
  <c r="E206" i="1" s="1"/>
  <c r="G202" i="1"/>
  <c r="F202" i="1"/>
  <c r="F206" i="1" s="1"/>
  <c r="I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E169" i="1" s="1"/>
  <c r="H164" i="1"/>
  <c r="H163" i="1" s="1"/>
  <c r="F164" i="1"/>
  <c r="F163" i="1" s="1"/>
  <c r="G163" i="1" s="1"/>
  <c r="E164" i="1"/>
  <c r="H162" i="1"/>
  <c r="G162" i="1"/>
  <c r="F162" i="1"/>
  <c r="E162" i="1"/>
  <c r="H161" i="1"/>
  <c r="F161" i="1"/>
  <c r="E161" i="1"/>
  <c r="H160" i="1"/>
  <c r="H169" i="1" s="1"/>
  <c r="F160" i="1"/>
  <c r="F169" i="1" s="1"/>
  <c r="E160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H126" i="1" s="1"/>
  <c r="F127" i="1"/>
  <c r="F126" i="1" s="1"/>
  <c r="I126" i="1"/>
  <c r="G126" i="1"/>
  <c r="G120" i="1" s="1"/>
  <c r="E126" i="1"/>
  <c r="D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I121" i="1" s="1"/>
  <c r="I120" i="1" s="1"/>
  <c r="H122" i="1"/>
  <c r="G122" i="1"/>
  <c r="F122" i="1"/>
  <c r="F121" i="1" s="1"/>
  <c r="F120" i="1" s="1"/>
  <c r="H121" i="1"/>
  <c r="G121" i="1"/>
  <c r="E121" i="1"/>
  <c r="E120" i="1" s="1"/>
  <c r="D121" i="1"/>
  <c r="D120" i="1" s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H115" i="1" s="1"/>
  <c r="G116" i="1"/>
  <c r="G115" i="1" s="1"/>
  <c r="G137" i="1" s="1"/>
  <c r="F116" i="1"/>
  <c r="I115" i="1"/>
  <c r="I137" i="1" s="1"/>
  <c r="F115" i="1"/>
  <c r="E115" i="1"/>
  <c r="D115" i="1"/>
  <c r="D137" i="1" s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I83" i="1" s="1"/>
  <c r="I82" i="1" s="1"/>
  <c r="H85" i="1"/>
  <c r="G85" i="1"/>
  <c r="F85" i="1"/>
  <c r="I84" i="1"/>
  <c r="G84" i="1"/>
  <c r="G83" i="1" s="1"/>
  <c r="G82" i="1" s="1"/>
  <c r="G94" i="1" s="1"/>
  <c r="F84" i="1"/>
  <c r="F83" i="1"/>
  <c r="F82" i="1" s="1"/>
  <c r="E83" i="1"/>
  <c r="E82" i="1" s="1"/>
  <c r="D83" i="1"/>
  <c r="D82" i="1"/>
  <c r="D94" i="1" s="1"/>
  <c r="I81" i="1"/>
  <c r="G81" i="1"/>
  <c r="H81" i="1" s="1"/>
  <c r="H79" i="1" s="1"/>
  <c r="F81" i="1"/>
  <c r="F79" i="1" s="1"/>
  <c r="F94" i="1" s="1"/>
  <c r="I80" i="1"/>
  <c r="I79" i="1" s="1"/>
  <c r="I94" i="1" s="1"/>
  <c r="H80" i="1"/>
  <c r="G80" i="1"/>
  <c r="F80" i="1"/>
  <c r="G79" i="1"/>
  <c r="E79" i="1"/>
  <c r="E94" i="1" s="1"/>
  <c r="D79" i="1"/>
  <c r="C76" i="1"/>
  <c r="H72" i="1"/>
  <c r="F72" i="1"/>
  <c r="D72" i="1"/>
  <c r="H58" i="1"/>
  <c r="H57" i="1"/>
  <c r="I52" i="1"/>
  <c r="I31" i="1" s="1"/>
  <c r="H52" i="1"/>
  <c r="G52" i="1"/>
  <c r="F52" i="1"/>
  <c r="F31" i="1" s="1"/>
  <c r="F26" i="1" s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G34" i="1"/>
  <c r="G33" i="1" s="1"/>
  <c r="F34" i="1"/>
  <c r="F33" i="1" s="1"/>
  <c r="F25" i="1" s="1"/>
  <c r="I33" i="1"/>
  <c r="E33" i="1"/>
  <c r="D33" i="1"/>
  <c r="I32" i="1"/>
  <c r="H32" i="1"/>
  <c r="G32" i="1"/>
  <c r="F32" i="1"/>
  <c r="G31" i="1"/>
  <c r="H31" i="1" s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H27" i="1" s="1"/>
  <c r="F27" i="1"/>
  <c r="G26" i="1"/>
  <c r="E26" i="1"/>
  <c r="E25" i="1" s="1"/>
  <c r="D26" i="1"/>
  <c r="D25" i="1"/>
  <c r="I24" i="1"/>
  <c r="G24" i="1"/>
  <c r="H24" i="1" s="1"/>
  <c r="H22" i="1" s="1"/>
  <c r="F24" i="1"/>
  <c r="I23" i="1"/>
  <c r="I22" i="1" s="1"/>
  <c r="H23" i="1"/>
  <c r="G23" i="1"/>
  <c r="G22" i="1" s="1"/>
  <c r="F23" i="1"/>
  <c r="F22" i="1" s="1"/>
  <c r="E22" i="1"/>
  <c r="D22" i="1"/>
  <c r="D42" i="1" s="1"/>
  <c r="H16" i="1"/>
  <c r="F16" i="1"/>
  <c r="D16" i="1"/>
  <c r="G215" i="1" l="1"/>
  <c r="F219" i="1"/>
  <c r="F304" i="1"/>
  <c r="G304" i="1" s="1"/>
  <c r="G294" i="1"/>
  <c r="E137" i="1"/>
  <c r="H192" i="1"/>
  <c r="G25" i="1"/>
  <c r="G42" i="1" s="1"/>
  <c r="H33" i="1"/>
  <c r="H120" i="1"/>
  <c r="H137" i="1" s="1"/>
  <c r="G169" i="1"/>
  <c r="E42" i="1"/>
  <c r="F137" i="1"/>
  <c r="G219" i="1"/>
  <c r="H26" i="1"/>
  <c r="F42" i="1"/>
  <c r="I26" i="1"/>
  <c r="I25" i="1" s="1"/>
  <c r="I42" i="1" s="1"/>
  <c r="H34" i="1"/>
  <c r="H84" i="1"/>
  <c r="H83" i="1" s="1"/>
  <c r="H82" i="1" s="1"/>
  <c r="H94" i="1" s="1"/>
  <c r="G192" i="1"/>
  <c r="H265" i="1"/>
  <c r="H262" i="1" s="1"/>
  <c r="H273" i="1" s="1"/>
  <c r="G323" i="1"/>
  <c r="G324" i="1" s="1"/>
  <c r="G237" i="1"/>
  <c r="G160" i="1"/>
  <c r="H25" i="1" l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<sst xmlns="http://schemas.openxmlformats.org/spreadsheetml/2006/main" count="391" uniqueCount="166">
  <si>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</si>
  <si>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</si>
  <si>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</si>
  <si>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</si>
  <si>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</si>
  <si>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</si>
  <si>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</si>
  <si>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</si>
  <si>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</si>
  <si>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</si>
  <si>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</si>
  <si>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</si>
  <si>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</si>
  <si>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</si>
  <si>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</si>
  <si>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</si>
  <si>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</si>
  <si>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</si>
  <si>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</si>
  <si>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</si>
  <si>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</si>
  <si>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</si>
  <si>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</si>
  <si>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</si>
  <si>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</si>
  <si>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</si>
  <si>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</si>
  <si>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</si>
  <si>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</si>
  <si>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</si>
  <si>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</si>
  <si>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</si>
  <si>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</si>
  <si>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</si>
  <si>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</si>
  <si>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</si>
  <si>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</si>
  <si>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</si>
  <si>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</si>
  <si>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</si>
  <si>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</si>
  <si>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</si>
  <si>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</si>
  <si>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</si>
  <si>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</si>
  <si>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</si>
  <si>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</si>
  <si>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</si>
  <si>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</si>
  <si>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</si>
  <si>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</si>
  <si>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</si>
  <si>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</si>
  <si>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</si>
  <si>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</si>
  <si>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</si>
  <si>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</si>
  <si>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</si>
  <si>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</si>
  <si>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</si>
  <si>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</si>
  <si>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</si>
  <si>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</si>
  <si>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</si>
  <si>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</si>
  <si>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</si>
  <si>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</si>
  <si>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</si>
  <si>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</si>
  <si>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</si>
  <si>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</si>
  <si>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</si>
  <si>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</si>
  <si>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</si>
  <si>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</si>
  <si>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</si>
  <si>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</si>
  <si>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</si>
  <si>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</si>
  <si>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</si>
  <si>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</si>
  <si>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</si>
  <si>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</si>
  <si>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</si>
  <si>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</si>
  <si>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</si>
  <si>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</si>
  <si>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</si>
  <si>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</si>
  <si>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</si>
  <si>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</si>
  <si>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</si>
  <si>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</si>
  <si>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</si>
  <si>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</si>
  <si>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</si>
  <si>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</si>
  <si>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</si>
  <si>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</si>
  <si>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</si>
  <si>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</si>
  <si>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</si>
  <si>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</si>
  <si>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</si>
  <si>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</si>
  <si>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</si>
  <si>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</si>
  <si>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</si>
  <si>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</si>
  <si>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</si>
  <si>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</si>
  <si>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</si>
  <si>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</si>
  <si>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</si>
  <si>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</si>
  <si>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</si>
  <si>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</si>
  <si>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</si>
  <si>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</si>
  <si>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</si>
  <si>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</si>
  <si>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</si>
  <si>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</si>
  <si>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</si>
  <si>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</si>
  <si>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</si>
  <si>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</si>
  <si>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</si>
  <si>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</si>
  <si>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</si>
  <si>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</si>
  <si>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</si>
  <si>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</si>
  <si>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</si>
  <si>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</si>
  <si>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</si>
  <si>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</si>
  <si>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</si>
  <si>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</si>
  <si>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</si>
  <si>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</si>
  <si>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</si>
  <si>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</si>
  <si>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</si>
  <si>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</si>
  <si>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</si>
  <si>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</si>
  <si>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</si>
  <si>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</si>
  <si>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</si>
  <si>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</si>
  <si>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</si>
  <si>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</si>
  <si>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</si>
  <si>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</si>
  <si>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</si>
  <si>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</si>
  <si>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t>2 Registrert rekreasjonsfiske utgjør 4 tonn, men det legges til grunn at hele avsetningen tas</t>
  </si>
  <si>
    <t>4 Registrert rekreasjonsfiske utgjør 21 tonn, men det legges til grunn at hele avsetningen tas</t>
  </si>
  <si>
    <t>3 Registrert rekreasjonsfiske utgjør 45 tonn, men det legges til grunn at hele avsetningen tas</t>
  </si>
  <si>
    <t>FANGST UKE 5</t>
  </si>
  <si>
    <t>FANGST T.O.M UKE 5</t>
  </si>
  <si>
    <t>RESTKVOTER UKE 5</t>
  </si>
  <si>
    <t>FANGST T.O.M UKE 5 2025</t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</si>
  <si>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1397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</si>
  <si>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Belastning av notkvoten er ikke beregnet i denne statikken for denne uken.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</si>
</sst>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21" zoomScale="112" zoomScaleNormal="55" zoomScaleSheetLayoutView="100" zoomScalePageLayoutView="85" workbookViewId="0">
      <selection activeCell="F326" sqref="F32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160</v>
      </c>
      <c r="G21" s="68" t="s">
        <v>161</v>
      </c>
      <c r="H21" s="68" t="s">
        <v>162</v>
      </c>
      <c r="I21" s="68" t="s">
        <v>163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543.82822999999996</v>
      </c>
      <c r="G22" s="27">
        <f t="shared" si="0"/>
        <v>1995.9239</v>
      </c>
      <c r="H22" s="10">
        <f>H24+H23</f>
        <v>30539.076099999998</v>
      </c>
      <c r="I22" s="10">
        <f t="shared" si="0"/>
        <v>2997.9596799999999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/>
      <c r="F23" s="22">
        <f>543.82823</f>
        <v>543.82822999999996</v>
      </c>
      <c r="G23" s="22">
        <f>1995.9239</f>
        <v>1995.9239</v>
      </c>
      <c r="H23" s="22">
        <f>D23-G23</f>
        <v>29789.076099999998</v>
      </c>
      <c r="I23" s="22">
        <f>2949.44818</f>
        <v>2949.4481799999999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0</f>
        <v>0</v>
      </c>
      <c r="H24" s="22">
        <f>D24-G24</f>
        <v>750</v>
      </c>
      <c r="I24" s="22">
        <f>48.5115</f>
        <v>48.511499999999998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3009.8887399999999</v>
      </c>
      <c r="G25" s="10">
        <f t="shared" si="1"/>
        <v>8683.5994100000007</v>
      </c>
      <c r="H25" s="10">
        <f t="shared" si="1"/>
        <v>86778.400590000005</v>
      </c>
      <c r="I25" s="10">
        <f t="shared" si="1"/>
        <v>7239.7663199999997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2373.4085</v>
      </c>
      <c r="G26" s="129">
        <f>G27+G28+G29+G30+G31</f>
        <v>7164.4987000000001</v>
      </c>
      <c r="H26" s="129">
        <f t="shared" ref="H26:I26" si="2">H27+H28+H29+H30+H31</f>
        <v>68323.501300000004</v>
      </c>
      <c r="I26" s="129">
        <f t="shared" si="2"/>
        <v>5047.4496499999996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/>
      <c r="F27" s="209">
        <f>674.98501 - F53</f>
        <v>674.98500999999999</v>
      </c>
      <c r="G27" s="123">
        <f>1873.42064 - G53</f>
        <v>1873.42064</v>
      </c>
      <c r="H27" s="123">
        <f t="shared" ref="H27:H41" si="3">D27-G27</f>
        <v>17290.57936</v>
      </c>
      <c r="I27" s="123">
        <f>1143.92861 - I53</f>
        <v>1143.9286099999999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/>
      <c r="F28" s="123">
        <f>944.97718 - F54</f>
        <v>944.97717999999998</v>
      </c>
      <c r="G28" s="123">
        <f>3065.85575 - G54</f>
        <v>3065.8557500000002</v>
      </c>
      <c r="H28" s="123">
        <f t="shared" si="3"/>
        <v>15970.144249999999</v>
      </c>
      <c r="I28" s="123">
        <f>2071.288 - I54</f>
        <v>2071.288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/>
      <c r="F29" s="123">
        <f>381.87515 - F55</f>
        <v>381.87515000000002</v>
      </c>
      <c r="G29" s="123">
        <f>1532.88865 - G55</f>
        <v>1532.8886500000001</v>
      </c>
      <c r="H29" s="123">
        <f t="shared" si="3"/>
        <v>15874.111349999999</v>
      </c>
      <c r="I29" s="123">
        <f>1381.50035 - I55</f>
        <v>1381.50035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/>
      <c r="F30" s="123">
        <f>371.57116 - F56</f>
        <v>371.57116000000002</v>
      </c>
      <c r="G30" s="123">
        <f>692.33366 - G56</f>
        <v>692.33366000000001</v>
      </c>
      <c r="H30" s="123">
        <f t="shared" si="3"/>
        <v>12103.66634</v>
      </c>
      <c r="I30" s="123">
        <f>450.73269 - I56</f>
        <v>450.73268999999999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/>
      <c r="F32" s="129">
        <f>364.81377</f>
        <v>364.81376999999998</v>
      </c>
      <c r="G32" s="129">
        <f>747.59882</f>
        <v>747.59882000000005</v>
      </c>
      <c r="H32" s="129">
        <f t="shared" si="3"/>
        <v>9969.4011800000007</v>
      </c>
      <c r="I32" s="129">
        <f>1708.34317</f>
        <v>1708.3431700000001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271.66647</v>
      </c>
      <c r="G33" s="129">
        <f>G34+G35</f>
        <v>771.50189</v>
      </c>
      <c r="H33" s="129">
        <f t="shared" si="3"/>
        <v>8485.4981100000005</v>
      </c>
      <c r="I33" s="129">
        <f>I34+I35</f>
        <v>483.9735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/>
      <c r="F34" s="123">
        <f>307.66647 - F57 - F58</f>
        <v>271.66647</v>
      </c>
      <c r="G34" s="129">
        <f>828.50189 - G57 - G58</f>
        <v>771.50189</v>
      </c>
      <c r="H34" s="123">
        <f t="shared" si="3"/>
        <v>7620.4981100000005</v>
      </c>
      <c r="I34" s="123">
        <f>483.9735 - I57 - I58</f>
        <v>483.9735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/>
      <c r="F36" s="136">
        <f>0</f>
        <v>0</v>
      </c>
      <c r="G36" s="136">
        <f>0</f>
        <v>0</v>
      </c>
      <c r="H36" s="136">
        <f t="shared" si="3"/>
        <v>500</v>
      </c>
      <c r="I36" s="136">
        <f>0</f>
        <v>0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/>
      <c r="F37" s="95">
        <f>3.2415</f>
        <v>3.2414999999999998</v>
      </c>
      <c r="G37" s="95">
        <f>57.8828</f>
        <v>57.882800000000003</v>
      </c>
      <c r="H37" s="95">
        <f t="shared" si="3"/>
        <v>822.11720000000003</v>
      </c>
      <c r="I37" s="95">
        <f>20.17801</f>
        <v>20.17801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/>
      <c r="F38" s="95">
        <f>F58</f>
        <v>36</v>
      </c>
      <c r="G38" s="95">
        <f>G58</f>
        <v>57</v>
      </c>
      <c r="H38" s="95">
        <f t="shared" si="3"/>
        <v>2943</v>
      </c>
      <c r="I38" s="95">
        <f>I58</f>
        <v>0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/>
      <c r="F39" s="95">
        <f>13.59675</f>
        <v>13.59675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/>
      <c r="F40" s="95">
        <f>2.359</f>
        <v>2.359</v>
      </c>
      <c r="G40" s="95">
        <f>10.456</f>
        <v>10.456</v>
      </c>
      <c r="H40" s="95">
        <f t="shared" si="3"/>
        <v>439.54399999999998</v>
      </c>
      <c r="I40" s="95">
        <f>25.34674</f>
        <v>25.34674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0.724</f>
        <v>0.72399999999999998</v>
      </c>
      <c r="G41" s="136">
        <f>17.479</f>
        <v>17.478999999999999</v>
      </c>
      <c r="H41" s="136">
        <f t="shared" si="3"/>
        <v>-17.478999999999999</v>
      </c>
      <c r="I41" s="136">
        <f>15.358</f>
        <v>15.358000000000001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3609.6382200000003</v>
      </c>
      <c r="G42" s="73">
        <f t="shared" si="4"/>
        <v>10822.341109999999</v>
      </c>
      <c r="H42" s="73">
        <f t="shared" si="4"/>
        <v>129004.65888999999</v>
      </c>
      <c r="I42" s="73">
        <f t="shared" si="4"/>
        <v>10298.608749999999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159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160</v>
      </c>
      <c r="G51" s="68" t="s">
        <v>161</v>
      </c>
      <c r="H51" s="68" t="s">
        <v>162</v>
      </c>
      <c r="I51" s="68" t="s">
        <v>163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/>
      <c r="F52" s="10">
        <f>F56+F55+F54+F53</f>
        <v>0</v>
      </c>
      <c r="G52" s="10">
        <f>G56+G55+G54+G53</f>
        <v>0</v>
      </c>
      <c r="H52" s="325">
        <f>D52-G52</f>
        <v>7085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/>
      <c r="F58" s="136">
        <v>36</v>
      </c>
      <c r="G58" s="136">
        <v>57</v>
      </c>
      <c r="H58" s="136">
        <f>D58-G58</f>
        <v>2943</v>
      </c>
      <c r="I58" s="136"/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3"/>
      <c r="E73" s="243"/>
      <c r="F73" s="243"/>
      <c r="G73" s="243"/>
      <c r="H73" s="243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160</v>
      </c>
      <c r="G78" s="14" t="s">
        <v>161</v>
      </c>
      <c r="H78" s="14" t="s">
        <v>162</v>
      </c>
      <c r="I78" s="14" t="s">
        <v>163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401.27515</v>
      </c>
      <c r="G79" s="10">
        <f t="shared" si="5"/>
        <v>891.03530000000001</v>
      </c>
      <c r="H79" s="10">
        <f t="shared" si="5"/>
        <v>27503.9647</v>
      </c>
      <c r="I79" s="10">
        <f t="shared" si="5"/>
        <v>598.30804000000001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/>
      <c r="F80" s="22">
        <f>401.27515</f>
        <v>401.27515</v>
      </c>
      <c r="G80" s="22">
        <f>891.0353</f>
        <v>891.03530000000001</v>
      </c>
      <c r="H80" s="22">
        <f>D80-G80</f>
        <v>26753.9647</v>
      </c>
      <c r="I80" s="22">
        <f>597.49184</f>
        <v>597.49184000000002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0</f>
        <v>0</v>
      </c>
      <c r="H81" s="48">
        <f>D81-G81</f>
        <v>750</v>
      </c>
      <c r="I81" s="48">
        <f>0.8162</f>
        <v>0.81620000000000004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579.38879000000009</v>
      </c>
      <c r="G82" s="10">
        <f t="shared" si="6"/>
        <v>2247.5525299999999</v>
      </c>
      <c r="H82" s="10">
        <f>H83+H88+H89</f>
        <v>45033.447469999999</v>
      </c>
      <c r="I82" s="10">
        <f t="shared" si="6"/>
        <v>2853.1416700000004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338.53940000000006</v>
      </c>
      <c r="G83" s="129">
        <f t="shared" si="7"/>
        <v>1574.57602</v>
      </c>
      <c r="H83" s="129">
        <f t="shared" si="7"/>
        <v>33661.42398</v>
      </c>
      <c r="I83" s="129">
        <f t="shared" si="7"/>
        <v>2021.4382600000001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/>
      <c r="F84" s="123">
        <f>158.23929</f>
        <v>158.23929000000001</v>
      </c>
      <c r="G84" s="123">
        <f>811.65998</f>
        <v>811.65998000000002</v>
      </c>
      <c r="H84" s="123">
        <f t="shared" ref="H84:H93" si="8">D84-G84</f>
        <v>8613.3400199999996</v>
      </c>
      <c r="I84" s="123">
        <f>939.67465</f>
        <v>939.67465000000004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/>
      <c r="F85" s="123">
        <f>141.15357</f>
        <v>141.15357</v>
      </c>
      <c r="G85" s="123">
        <f>537.5475</f>
        <v>537.54750000000001</v>
      </c>
      <c r="H85" s="123">
        <f t="shared" si="8"/>
        <v>9263.4524999999994</v>
      </c>
      <c r="I85" s="123">
        <f>513.46532</f>
        <v>513.46532000000002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/>
      <c r="F86" s="123">
        <f>17.48692</f>
        <v>17.486920000000001</v>
      </c>
      <c r="G86" s="123">
        <f>104.11998</f>
        <v>104.11998</v>
      </c>
      <c r="H86" s="123">
        <f t="shared" si="8"/>
        <v>9494.8800200000005</v>
      </c>
      <c r="I86" s="123">
        <f>463.9514</f>
        <v>463.95139999999998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/>
      <c r="F87" s="123">
        <f>21.65962</f>
        <v>21.65962</v>
      </c>
      <c r="G87" s="123">
        <f>121.24856</f>
        <v>121.24856</v>
      </c>
      <c r="H87" s="123">
        <f t="shared" si="8"/>
        <v>6289.75144</v>
      </c>
      <c r="I87" s="123">
        <f>104.34689</f>
        <v>104.34689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/>
      <c r="F88" s="129">
        <f>141.31337</f>
        <v>141.31336999999999</v>
      </c>
      <c r="G88" s="129">
        <f>298.41357</f>
        <v>298.41356999999999</v>
      </c>
      <c r="H88" s="129">
        <f t="shared" si="8"/>
        <v>8040.5864300000003</v>
      </c>
      <c r="I88" s="129">
        <f>486.69767</f>
        <v>486.69767000000002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/>
      <c r="F89" s="72">
        <f>99.53602</f>
        <v>99.536019999999994</v>
      </c>
      <c r="G89" s="72">
        <f>374.56294</f>
        <v>374.56294000000003</v>
      </c>
      <c r="H89" s="72">
        <f t="shared" si="8"/>
        <v>3331.4370600000002</v>
      </c>
      <c r="I89" s="72">
        <f>345.00574</f>
        <v>345.00574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/>
      <c r="F90" s="95">
        <f>0.69168</f>
        <v>0.69167999999999996</v>
      </c>
      <c r="G90" s="95">
        <f>3.11352</f>
        <v>3.1135199999999998</v>
      </c>
      <c r="H90" s="95">
        <f t="shared" si="8"/>
        <v>315.88648000000001</v>
      </c>
      <c r="I90" s="95">
        <f>0.4742</f>
        <v>0.47420000000000001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/>
      <c r="F91" s="136">
        <f>1.14059</f>
        <v>1.14059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/>
      <c r="F92" s="95">
        <f>0.48209</f>
        <v>0.48209000000000002</v>
      </c>
      <c r="G92" s="95">
        <f>1.11865</f>
        <v>1.1186499999999999</v>
      </c>
      <c r="H92" s="136">
        <f t="shared" si="8"/>
        <v>48.881349999999998</v>
      </c>
      <c r="I92" s="95">
        <f>6.6419</f>
        <v>6.6418999999999997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0.015</f>
        <v>1.4999999999999999E-2</v>
      </c>
      <c r="H93" s="136">
        <f t="shared" si="8"/>
        <v>-1.4999999999999999E-2</v>
      </c>
      <c r="I93" s="136">
        <f>0.848</f>
        <v>0.84799999999999998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982.9783000000001</v>
      </c>
      <c r="G94" s="73">
        <f t="shared" si="10"/>
        <v>3142.8349999999996</v>
      </c>
      <c r="H94" s="73">
        <f t="shared" si="10"/>
        <v>73202.164999999994</v>
      </c>
      <c r="I94" s="73">
        <f t="shared" si="10"/>
        <v>3459.4138100000005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157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160</v>
      </c>
      <c r="G114" s="14" t="s">
        <v>161</v>
      </c>
      <c r="H114" s="14" t="s">
        <v>162</v>
      </c>
      <c r="I114" s="14" t="s">
        <v>163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117.63616999999999</v>
      </c>
      <c r="G115" s="10">
        <f t="shared" si="11"/>
        <v>455.24878999999999</v>
      </c>
      <c r="H115" s="10">
        <f t="shared" si="11"/>
        <v>53790.751210000002</v>
      </c>
      <c r="I115" s="10">
        <f t="shared" si="11"/>
        <v>1360.6371899999999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/>
      <c r="F116" s="22">
        <f>116.12817</f>
        <v>116.12817</v>
      </c>
      <c r="G116" s="22">
        <f>406.38779</f>
        <v>406.38779</v>
      </c>
      <c r="H116" s="22">
        <f>D116-G116</f>
        <v>42990.612209999999</v>
      </c>
      <c r="I116" s="22">
        <f>1305.51469</f>
        <v>1305.51469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0</f>
        <v>0</v>
      </c>
      <c r="H117" s="22">
        <f>D117-G117</f>
        <v>10349</v>
      </c>
      <c r="I117" s="22">
        <f>3.2265</f>
        <v>3.2265000000000001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/>
      <c r="F118" s="22">
        <f>1.508</f>
        <v>1.508</v>
      </c>
      <c r="G118" s="22">
        <f>48.861</f>
        <v>48.860999999999997</v>
      </c>
      <c r="H118" s="53">
        <f>D118-G118</f>
        <v>451.13900000000001</v>
      </c>
      <c r="I118" s="22">
        <f>51.896</f>
        <v>51.896000000000001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/>
      <c r="F119" s="92">
        <f>1.913</f>
        <v>1.913</v>
      </c>
      <c r="G119" s="92">
        <f>93.06</f>
        <v>93.06</v>
      </c>
      <c r="H119" s="92">
        <f>D119-G119</f>
        <v>36559.94</v>
      </c>
      <c r="I119" s="92">
        <f>23.008</f>
        <v>23.007999999999999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59816</v>
      </c>
      <c r="E120" s="140">
        <f>E121+E126+E129</f>
        <v>0</v>
      </c>
      <c r="F120" s="91">
        <f>F121+F126+F129</f>
        <v>1500.5951599999999</v>
      </c>
      <c r="G120" s="91">
        <f t="shared" ref="G120" si="12">G121+G126+G129</f>
        <v>6556.24262</v>
      </c>
      <c r="H120" s="91">
        <f>H121+H126+H129</f>
        <v>53259.757380000003</v>
      </c>
      <c r="I120" s="91">
        <f>I121+I126+I129</f>
        <v>9861.3040600000004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1235.65131</v>
      </c>
      <c r="G121" s="121">
        <f>G122+G123+G125+G124</f>
        <v>5470.9073399999997</v>
      </c>
      <c r="H121" s="121">
        <f>H122+H123+H124+H125</f>
        <v>37711.092660000002</v>
      </c>
      <c r="I121" s="121">
        <f>I122+I123+I124+I125</f>
        <v>7855.1902599999994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/>
      <c r="F122" s="123">
        <f>407.96559</f>
        <v>407.96559000000002</v>
      </c>
      <c r="G122" s="123">
        <f>1788.33744</f>
        <v>1788.33744</v>
      </c>
      <c r="H122" s="123">
        <f>D122-G122</f>
        <v>9687.6625600000007</v>
      </c>
      <c r="I122" s="123">
        <f>1998.62837</f>
        <v>1998.6283699999999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/>
      <c r="F123" s="123">
        <f>469.54549</f>
        <v>469.54548999999997</v>
      </c>
      <c r="G123" s="123">
        <f>1911.53547</f>
        <v>1911.53547</v>
      </c>
      <c r="H123" s="123">
        <f>D123-G123</f>
        <v>9923.4645299999993</v>
      </c>
      <c r="I123" s="123">
        <f>2635.89896</f>
        <v>2635.89896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/>
      <c r="F124" s="123">
        <f>210.78163</f>
        <v>210.78163000000001</v>
      </c>
      <c r="G124" s="123">
        <f>959.27277</f>
        <v>959.27277000000004</v>
      </c>
      <c r="H124" s="123">
        <f>D124-G124</f>
        <v>9513.7272300000004</v>
      </c>
      <c r="I124" s="123">
        <f>1733.59113</f>
        <v>1733.59113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/>
      <c r="F125" s="123">
        <f>147.3586</f>
        <v>147.3586</v>
      </c>
      <c r="G125" s="123">
        <f>811.76166</f>
        <v>811.76166000000001</v>
      </c>
      <c r="H125" s="123">
        <f>D125-G125</f>
        <v>8586.2383399999999</v>
      </c>
      <c r="I125" s="123">
        <f>1487.0718</f>
        <v>1487.0717999999999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0</v>
      </c>
      <c r="F126" s="129">
        <f>SUM(F127:F128)</f>
        <v>25.037409999999998</v>
      </c>
      <c r="G126" s="129">
        <f>SUM(G127:G128)</f>
        <v>175.45316</v>
      </c>
      <c r="H126" s="129">
        <f>H127+H128</f>
        <v>7143.54684</v>
      </c>
      <c r="I126" s="129">
        <f>SUM(I127:I128)</f>
        <v>1277.1246800000001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6819</v>
      </c>
      <c r="E127" s="61"/>
      <c r="F127" s="123">
        <f>23.25181</f>
        <v>23.251809999999999</v>
      </c>
      <c r="G127" s="123">
        <f>166.46756</f>
        <v>166.46755999999999</v>
      </c>
      <c r="H127" s="123">
        <f t="shared" ref="H127:H135" si="13">D127-G127</f>
        <v>6652.53244</v>
      </c>
      <c r="I127" s="123">
        <f>1246.74548</f>
        <v>1246.74548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/>
      <c r="F128" s="123">
        <f>1.7856</f>
        <v>1.7856000000000001</v>
      </c>
      <c r="G128" s="123">
        <f>8.9856</f>
        <v>8.9855999999999998</v>
      </c>
      <c r="H128" s="123">
        <f t="shared" si="13"/>
        <v>491.01440000000002</v>
      </c>
      <c r="I128" s="123">
        <f>30.3792</f>
        <v>30.379200000000001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9315</v>
      </c>
      <c r="E129" s="59"/>
      <c r="F129" s="72">
        <f>239.90644</f>
        <v>239.90644</v>
      </c>
      <c r="G129" s="72">
        <f>909.88212</f>
        <v>909.88211999999999</v>
      </c>
      <c r="H129" s="72">
        <f t="shared" si="13"/>
        <v>8405.1178799999998</v>
      </c>
      <c r="I129" s="72">
        <f>728.98912</f>
        <v>728.98911999999996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146</v>
      </c>
      <c r="E130" s="140"/>
      <c r="F130" s="136">
        <f>0.1836</f>
        <v>0.18360000000000001</v>
      </c>
      <c r="G130" s="136">
        <f>1.1121</f>
        <v>1.1121000000000001</v>
      </c>
      <c r="H130" s="136">
        <f t="shared" si="13"/>
        <v>144.8879</v>
      </c>
      <c r="I130" s="136">
        <f>2.60175</f>
        <v>2.60175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/>
      <c r="F132" s="136">
        <f>5.82424</f>
        <v>5.8242399999999996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313</v>
      </c>
      <c r="E134" s="140"/>
      <c r="F134" s="95">
        <f>0.0639</f>
        <v>6.3899999999999998E-2</v>
      </c>
      <c r="G134" s="95">
        <f>1.7326</f>
        <v>1.7325999999999999</v>
      </c>
      <c r="H134" s="136">
        <f t="shared" si="13"/>
        <v>311.26740000000001</v>
      </c>
      <c r="I134" s="95">
        <f>11.8575</f>
        <v>11.8575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0.561</f>
        <v>0.56100000000000005</v>
      </c>
      <c r="G135" s="136">
        <f>40.622</f>
        <v>40.622</v>
      </c>
      <c r="H135" s="136">
        <f t="shared" si="13"/>
        <v>-40.622</v>
      </c>
      <c r="I135" s="136">
        <f>41.597</f>
        <v>41.597000000000001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153524</v>
      </c>
      <c r="E137" s="73">
        <f t="shared" si="14"/>
        <v>0</v>
      </c>
      <c r="F137" s="73">
        <f>F115+F119+F120+F130+F131+F132+F133+F134+F135</f>
        <v>1626.7770699999999</v>
      </c>
      <c r="G137" s="73">
        <f>G115+G119+G120+G130+G131+G132+G133+G134+G135</f>
        <v>7148.0181100000009</v>
      </c>
      <c r="H137" s="73">
        <f>H115+H119+H120+H130+H131+H132+H133+H134+H135</f>
        <v>146375.98189000002</v>
      </c>
      <c r="I137" s="73">
        <f>I115+I119+I120+I130+I131+I132+I133+I134+I135</f>
        <v>11301.005499999999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337" t="s">
        <v>164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158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160</v>
      </c>
      <c r="F159" s="14" t="s">
        <v>161</v>
      </c>
      <c r="G159" s="52" t="s">
        <v>162</v>
      </c>
      <c r="H159" s="14" t="s">
        <v>163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27.2275</f>
        <v>27.227499999999999</v>
      </c>
      <c r="F160" s="301">
        <f>48.12356</f>
        <v>48.123559999999998</v>
      </c>
      <c r="G160" s="42">
        <f>D160-F160-F161</f>
        <v>3705.7888400000002</v>
      </c>
      <c r="H160" s="301">
        <f>115.31487</f>
        <v>115.31487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0.0876</f>
        <v>8.7599999999999997E-2</v>
      </c>
      <c r="F161" s="148">
        <f>0.0876</f>
        <v>8.7599999999999997E-2</v>
      </c>
      <c r="G161" s="219"/>
      <c r="H161" s="148">
        <f>148.16828</f>
        <v>148.16828000000001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0</f>
        <v>0</v>
      </c>
      <c r="G162" s="166">
        <f>D162-F162</f>
        <v>200</v>
      </c>
      <c r="H162" s="166">
        <f>0</f>
        <v>0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9.0609999999999999</v>
      </c>
      <c r="F163" s="175">
        <f>F164+F165+F166</f>
        <v>32.575119999999998</v>
      </c>
      <c r="G163" s="175">
        <f>D163-F163</f>
        <v>5597.4248799999996</v>
      </c>
      <c r="H163" s="175">
        <f>H164+H165+H166</f>
        <v>11.592700000000001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2.263</f>
        <v>2.2629999999999999</v>
      </c>
      <c r="F164" s="123">
        <f>16.60368</f>
        <v>16.603680000000001</v>
      </c>
      <c r="G164" s="123"/>
      <c r="H164" s="123">
        <f>4.7064</f>
        <v>4.7064000000000004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6.798</f>
        <v>6.798</v>
      </c>
      <c r="F165" s="123">
        <f>15.30982</f>
        <v>15.30982</v>
      </c>
      <c r="G165" s="123"/>
      <c r="H165" s="123">
        <f>1.5364</f>
        <v>1.5364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0</f>
        <v>0</v>
      </c>
      <c r="F166" s="186">
        <f>0.66162</f>
        <v>0.66161999999999999</v>
      </c>
      <c r="G166" s="186"/>
      <c r="H166" s="186">
        <f>5.3499</f>
        <v>5.3498999999999999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36.376099999999994</v>
      </c>
      <c r="F169" s="188">
        <f>F160+F161+F162+F163+F167+F168</f>
        <v>81.262240000000006</v>
      </c>
      <c r="G169" s="188">
        <f>D169-F169</f>
        <v>9593.73776</v>
      </c>
      <c r="H169" s="188">
        <f>H160+H161+H162+H163+H167+H168</f>
        <v>275.07585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160</v>
      </c>
      <c r="G188" s="68" t="s">
        <v>161</v>
      </c>
      <c r="H188" s="68" t="s">
        <v>162</v>
      </c>
      <c r="I188" s="68" t="s">
        <v>163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/>
      <c r="F189" s="124">
        <f>1006.79298</f>
        <v>1006.7929799999999</v>
      </c>
      <c r="G189" s="124">
        <f>6935.46221</f>
        <v>6935.4622099999997</v>
      </c>
      <c r="H189" s="124">
        <f>D189-G189</f>
        <v>38625.537790000002</v>
      </c>
      <c r="I189" s="124">
        <f>7138.90306</f>
        <v>7138.9030599999996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/>
      <c r="F190" s="124">
        <f>0.17741</f>
        <v>0.17741000000000001</v>
      </c>
      <c r="G190" s="124">
        <f>0.775</f>
        <v>0.77500000000000002</v>
      </c>
      <c r="H190" s="124">
        <f>D190-G190</f>
        <v>99.224999999999994</v>
      </c>
      <c r="I190" s="124">
        <f>1.0552</f>
        <v>1.0551999999999999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1006.97039</v>
      </c>
      <c r="G192" s="190">
        <f>SUM(G189:G191)</f>
        <v>6936.2372099999993</v>
      </c>
      <c r="H192" s="190">
        <f>D192-G192</f>
        <v>38770.762790000001</v>
      </c>
      <c r="I192" s="190">
        <f>SUM(I189:I191)</f>
        <v>7139.9582599999994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6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160</v>
      </c>
      <c r="F201" s="68" t="s">
        <v>161</v>
      </c>
      <c r="G201" s="68" t="s">
        <v>162</v>
      </c>
      <c r="H201" s="68" t="s">
        <v>163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184.53102999999999</v>
      </c>
      <c r="F202" s="72">
        <f>F203+F204</f>
        <v>204.72604999999999</v>
      </c>
      <c r="G202" s="72">
        <f>D202-F202</f>
        <v>2997.2739499999998</v>
      </c>
      <c r="H202" s="72">
        <f>H203+H204</f>
        <v>155.00846999999999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177.47518</f>
        <v>177.47517999999999</v>
      </c>
      <c r="F203" s="72">
        <f>182.93974</f>
        <v>182.93974</v>
      </c>
      <c r="G203" s="72"/>
      <c r="H203" s="72">
        <f>121.76052</f>
        <v>121.76052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7.05585</f>
        <v>7.0558500000000004</v>
      </c>
      <c r="F204" s="124">
        <f>21.78631</f>
        <v>21.78631</v>
      </c>
      <c r="G204" s="168"/>
      <c r="H204" s="124">
        <f>33.24795</f>
        <v>33.247950000000003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105.90336</f>
        <v>105.90336000000001</v>
      </c>
      <c r="F205" s="72">
        <f>444.72512</f>
        <v>444.72512</v>
      </c>
      <c r="G205" s="72">
        <f>D205-F205</f>
        <v>3259.2748799999999</v>
      </c>
      <c r="H205" s="72">
        <f>323.00174</f>
        <v>323.00173999999998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290.43439000000001</v>
      </c>
      <c r="F206" s="190">
        <f>SUM(F202,F205)</f>
        <v>649.45117000000005</v>
      </c>
      <c r="G206" s="190">
        <f>D206-F206</f>
        <v>6256.5488299999997</v>
      </c>
      <c r="H206" s="190">
        <f>SUM(H202,H205)</f>
        <v>478.01020999999997</v>
      </c>
      <c r="I206" s="275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160</v>
      </c>
      <c r="F214" s="68" t="s">
        <v>161</v>
      </c>
      <c r="G214" s="68" t="s">
        <v>162</v>
      </c>
      <c r="H214" s="68" t="s">
        <v>163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157.20981</v>
      </c>
      <c r="F215" s="72">
        <f>F216+F217</f>
        <v>213.07004999999998</v>
      </c>
      <c r="G215" s="72">
        <f>D215-F215</f>
        <v>5302.9299499999997</v>
      </c>
      <c r="H215" s="72">
        <f>H216+H217</f>
        <v>155.62458000000001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150.43532</f>
        <v>150.43531999999999</v>
      </c>
      <c r="F216" s="72">
        <f>187.93094</f>
        <v>187.93093999999999</v>
      </c>
      <c r="G216" s="72"/>
      <c r="H216" s="72">
        <f>139.75966</f>
        <v>139.75966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6.77449</f>
        <v>6.7744900000000001</v>
      </c>
      <c r="F217" s="124">
        <f>25.13911</f>
        <v>25.139109999999999</v>
      </c>
      <c r="G217" s="168"/>
      <c r="H217" s="124">
        <f>15.86492</f>
        <v>15.86492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100.59256</f>
        <v>100.59256000000001</v>
      </c>
      <c r="F218" s="72">
        <f>569.40399</f>
        <v>569.40399000000002</v>
      </c>
      <c r="G218" s="72">
        <f>D218-F218</f>
        <v>2662.5960100000002</v>
      </c>
      <c r="H218" s="72">
        <f>383.08696</f>
        <v>383.08695999999998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257.80237</v>
      </c>
      <c r="F219" s="190">
        <f>SUM(F215,F218)</f>
        <v>782.47404000000006</v>
      </c>
      <c r="G219" s="190">
        <f>D219-F219</f>
        <v>7965.5259599999999</v>
      </c>
      <c r="H219" s="190">
        <f>SUM(H215,H218)</f>
        <v>538.71154000000001</v>
      </c>
      <c r="I219" s="275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7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7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7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8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9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160</v>
      </c>
      <c r="F236" s="68" t="s">
        <v>161</v>
      </c>
      <c r="G236" s="68" t="s">
        <v>162</v>
      </c>
      <c r="H236" s="68" t="s">
        <v>163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2.11692</f>
        <v>2.1169199999999999</v>
      </c>
      <c r="F237" s="124">
        <f>6.78866</f>
        <v>6.7886600000000001</v>
      </c>
      <c r="G237" s="124">
        <f>D237-F237</f>
        <v>793.21133999999995</v>
      </c>
      <c r="H237" s="124">
        <f>39.35449</f>
        <v>39.354489999999998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3.34348</f>
        <v>3.34348</v>
      </c>
      <c r="F238" s="124">
        <f>68.16968</f>
        <v>68.16968</v>
      </c>
      <c r="G238" s="124">
        <f>D238-F238</f>
        <v>637.83032000000003</v>
      </c>
      <c r="H238" s="124">
        <f>117.91593</f>
        <v>117.91593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0.027</f>
        <v>2.7E-2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5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</f>
        <v>0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5.4603999999999999</v>
      </c>
      <c r="F241" s="190">
        <f>SUM(F237:F240)</f>
        <v>75.003339999999994</v>
      </c>
      <c r="G241" s="190">
        <f>D241-F241</f>
        <v>1440.99666</v>
      </c>
      <c r="H241" s="190">
        <f>H237+H238+H239+H240</f>
        <v>157.29741999999999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160</v>
      </c>
      <c r="G261" s="250" t="s">
        <v>161</v>
      </c>
      <c r="H261" s="250" t="s">
        <v>162</v>
      </c>
      <c r="I261" s="250" t="s">
        <v>163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21.348400000000002</v>
      </c>
      <c r="G262" s="280">
        <f t="shared" si="15"/>
        <v>75.736140000000006</v>
      </c>
      <c r="H262" s="280">
        <f>H266+H265+H264+H263</f>
        <v>15139.263859999999</v>
      </c>
      <c r="I262" s="280">
        <f t="shared" si="15"/>
        <v>158.39935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/>
      <c r="F263" s="284">
        <f>0</f>
        <v>0</v>
      </c>
      <c r="G263" s="284">
        <f>0</f>
        <v>0</v>
      </c>
      <c r="H263" s="284">
        <f t="shared" ref="H263:H268" si="16">D263-G263</f>
        <v>7457</v>
      </c>
      <c r="I263" s="284">
        <f>0</f>
        <v>0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/>
      <c r="F265" s="284">
        <f>21.3484</f>
        <v>21.348400000000002</v>
      </c>
      <c r="G265" s="284">
        <f>72.72054</f>
        <v>72.72054</v>
      </c>
      <c r="H265" s="284">
        <f t="shared" si="16"/>
        <v>1265.27946</v>
      </c>
      <c r="I265" s="284">
        <f>153.98895</f>
        <v>153.98894999999999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/>
      <c r="F266" s="284">
        <f>0</f>
        <v>0</v>
      </c>
      <c r="G266" s="284">
        <f>3.0156</f>
        <v>3.0156000000000001</v>
      </c>
      <c r="H266" s="284">
        <f t="shared" si="16"/>
        <v>4475.9844000000003</v>
      </c>
      <c r="I266" s="284">
        <f>4.4104</f>
        <v>4.4104000000000001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/>
      <c r="F267" s="294">
        <f>0</f>
        <v>0</v>
      </c>
      <c r="G267" s="294">
        <f>5.376</f>
        <v>5.3760000000000003</v>
      </c>
      <c r="H267" s="294">
        <f t="shared" si="16"/>
        <v>5494.6239999999998</v>
      </c>
      <c r="I267" s="294">
        <f>19.88</f>
        <v>19.88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/>
      <c r="F268" s="295">
        <f>F270+F269</f>
        <v>31.4392</v>
      </c>
      <c r="G268" s="295">
        <f>G270+G269</f>
        <v>163.13011</v>
      </c>
      <c r="H268" s="295">
        <f t="shared" si="16"/>
        <v>7836.8698899999999</v>
      </c>
      <c r="I268" s="295">
        <f>I270+I269</f>
        <v>272.64224000000002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0</f>
        <v>0</v>
      </c>
      <c r="H269" s="284"/>
      <c r="I269" s="284">
        <f>0</f>
        <v>0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31.4392</f>
        <v>31.4392</v>
      </c>
      <c r="G270" s="303">
        <f>163.13011</f>
        <v>163.13011</v>
      </c>
      <c r="H270" s="303"/>
      <c r="I270" s="303">
        <f>272.64224</f>
        <v>272.64224000000002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0.0108</f>
        <v>1.0800000000000001E-2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0.006</f>
        <v>6.0000000000000001E-3</v>
      </c>
      <c r="G272" s="294">
        <f>0.23381</f>
        <v>0.23380999999999999</v>
      </c>
      <c r="H272" s="294">
        <f>D272-G272</f>
        <v>-0.23380999999999999</v>
      </c>
      <c r="I272" s="294">
        <f>2.8348</f>
        <v>2.8348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52.793599999999998</v>
      </c>
      <c r="G273" s="312">
        <f t="shared" si="17"/>
        <v>244.47606000000002</v>
      </c>
      <c r="H273" s="312">
        <f>H262+H267+H268+H271+H272</f>
        <v>28483.523939999995</v>
      </c>
      <c r="I273" s="312">
        <f t="shared" si="17"/>
        <v>453.76719000000003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160</v>
      </c>
      <c r="F293" s="19" t="s">
        <v>161</v>
      </c>
      <c r="G293" s="23" t="s">
        <v>162</v>
      </c>
      <c r="H293" s="19" t="s">
        <v>163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32.430499999999995</v>
      </c>
      <c r="F297" s="25">
        <f>SUM(F298:F299)</f>
        <v>500.95299999999997</v>
      </c>
      <c r="G297" s="82">
        <f>D297-F297</f>
        <v>278.04700000000003</v>
      </c>
      <c r="H297" s="25">
        <f>SUM(H298:H299)</f>
        <v>704.60041999999999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27.031</f>
        <v>27.030999999999999</v>
      </c>
      <c r="F298" s="29">
        <f>390.6175</f>
        <v>390.61750000000001</v>
      </c>
      <c r="G298" s="94"/>
      <c r="H298" s="29">
        <f>541.32438</f>
        <v>541.32438000000002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5.3995</f>
        <v>5.3994999999999997</v>
      </c>
      <c r="F299" s="29">
        <f>110.3355</f>
        <v>110.3355</v>
      </c>
      <c r="G299" s="105"/>
      <c r="H299" s="29">
        <f>163.27604</f>
        <v>163.27603999999999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32.430499999999995</v>
      </c>
      <c r="F304" s="39">
        <f>F294+F297+F300+F303</f>
        <v>1426.0799299999999</v>
      </c>
      <c r="G304" s="40">
        <f>D304-F304</f>
        <v>911.92007000000012</v>
      </c>
      <c r="H304" s="39">
        <f>H294+H297+H300+H303</f>
        <v>1727.8063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160</v>
      </c>
      <c r="F321" s="19" t="s">
        <v>161</v>
      </c>
      <c r="G321" s="19" t="s">
        <v>162</v>
      </c>
      <c r="H321" s="19" t="s">
        <v>163</v>
      </c>
      <c r="I321" s="251"/>
      <c r="J321" s="13"/>
    </row>
    <row r="322" spans="1:10" ht="18.5" customHeight="1" x14ac:dyDescent="0.35">
      <c r="A322" s="223"/>
      <c r="B322" s="69"/>
      <c r="C322" s="236" t="s">
        <v>133</v>
      </c>
      <c r="D322" s="237">
        <v>238</v>
      </c>
      <c r="E322" s="29">
        <f>2.37609</f>
        <v>2.37609</v>
      </c>
      <c r="F322" s="29">
        <f>38.47019</f>
        <v>38.470190000000002</v>
      </c>
      <c r="G322" s="238">
        <f>D322-F322</f>
        <v>199.52981</v>
      </c>
      <c r="H322" s="29">
        <f>54.2866</f>
        <v>54.2866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6.11013</f>
        <v>6.1101299999999998</v>
      </c>
      <c r="F323" s="29">
        <f>47.66835</f>
        <v>47.668349999999997</v>
      </c>
      <c r="G323" s="241">
        <f>D323-F323</f>
        <v>21189.33165</v>
      </c>
      <c r="H323" s="29">
        <f>65.96978</f>
        <v>65.96978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8.4862199999999994</v>
      </c>
      <c r="F324" s="39">
        <f>F323+F322</f>
        <v>86.138540000000006</v>
      </c>
      <c r="G324" s="39">
        <f>G323+G322</f>
        <v>21388.86146</v>
      </c>
      <c r="H324" s="39">
        <f>H323+H322</f>
        <v>120.25638000000001</v>
      </c>
      <c r="I324" s="26"/>
      <c r="J324" s="127"/>
    </row>
    <row r="325" spans="1:10" ht="22.5" customHeight="1" x14ac:dyDescent="0.3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5&amp;R02.02.2026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2026-02-02T09:19:17Z</dcterms:modified>
</cp:coreProperties>
</file>