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Downloads\"/>
    </mc:Choice>
  </mc:AlternateContent>
  <xr:revisionPtr revIDLastSave="0" documentId="13_ncr:1_{A84C7582-9660-4708-A214-19CF8E38A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G61" i="1"/>
  <c r="G60" i="1"/>
  <c r="H55" i="1"/>
  <c r="F55" i="1"/>
  <c r="G55" i="1" s="1"/>
  <c r="E55" i="1"/>
  <c r="G417" i="1" l="1"/>
  <c r="G414" i="1"/>
  <c r="G411" i="1"/>
  <c r="H419" i="1"/>
  <c r="F419" i="1"/>
  <c r="E419" i="1"/>
  <c r="H418" i="1"/>
  <c r="F418" i="1"/>
  <c r="E418" i="1"/>
  <c r="E417" i="1" s="1"/>
  <c r="H417" i="1"/>
  <c r="F417" i="1"/>
  <c r="H416" i="1"/>
  <c r="F416" i="1"/>
  <c r="E416" i="1"/>
  <c r="H415" i="1"/>
  <c r="F415" i="1"/>
  <c r="E415" i="1"/>
  <c r="E414" i="1" s="1"/>
  <c r="H414" i="1"/>
  <c r="F414" i="1"/>
  <c r="H413" i="1"/>
  <c r="F413" i="1"/>
  <c r="E413" i="1"/>
  <c r="E411" i="1" s="1"/>
  <c r="E421" i="1" s="1"/>
  <c r="H412" i="1"/>
  <c r="F412" i="1"/>
  <c r="F411" i="1" s="1"/>
  <c r="F421" i="1" s="1"/>
  <c r="E412" i="1"/>
  <c r="H411" i="1"/>
  <c r="H421" i="1" s="1"/>
  <c r="E389" i="1"/>
  <c r="D389" i="1"/>
  <c r="I388" i="1"/>
  <c r="H388" i="1"/>
  <c r="G388" i="1"/>
  <c r="F388" i="1"/>
  <c r="I387" i="1"/>
  <c r="G387" i="1"/>
  <c r="H387" i="1" s="1"/>
  <c r="F387" i="1"/>
  <c r="I386" i="1"/>
  <c r="G386" i="1"/>
  <c r="F386" i="1"/>
  <c r="I385" i="1"/>
  <c r="G385" i="1"/>
  <c r="G384" i="1" s="1"/>
  <c r="H384" i="1" s="1"/>
  <c r="F385" i="1"/>
  <c r="F384" i="1" s="1"/>
  <c r="I384" i="1"/>
  <c r="I383" i="1"/>
  <c r="G383" i="1"/>
  <c r="H383" i="1" s="1"/>
  <c r="F383" i="1"/>
  <c r="I382" i="1"/>
  <c r="H382" i="1"/>
  <c r="G382" i="1"/>
  <c r="F382" i="1"/>
  <c r="I381" i="1"/>
  <c r="G381" i="1"/>
  <c r="G378" i="1" s="1"/>
  <c r="G389" i="1" s="1"/>
  <c r="F381" i="1"/>
  <c r="F378" i="1" s="1"/>
  <c r="I380" i="1"/>
  <c r="H380" i="1"/>
  <c r="G380" i="1"/>
  <c r="F380" i="1"/>
  <c r="I379" i="1"/>
  <c r="G379" i="1"/>
  <c r="H379" i="1" s="1"/>
  <c r="F379" i="1"/>
  <c r="I378" i="1"/>
  <c r="I389" i="1" s="1"/>
  <c r="E378" i="1"/>
  <c r="D378" i="1"/>
  <c r="H370" i="1"/>
  <c r="F370" i="1"/>
  <c r="D352" i="1"/>
  <c r="H351" i="1"/>
  <c r="F351" i="1"/>
  <c r="E351" i="1"/>
  <c r="H350" i="1"/>
  <c r="G350" i="1"/>
  <c r="F350" i="1"/>
  <c r="E350" i="1"/>
  <c r="H349" i="1"/>
  <c r="F349" i="1"/>
  <c r="G349" i="1" s="1"/>
  <c r="E349" i="1"/>
  <c r="H348" i="1"/>
  <c r="H352" i="1" s="1"/>
  <c r="G348" i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H251" i="1"/>
  <c r="F251" i="1"/>
  <c r="E251" i="1"/>
  <c r="H250" i="1"/>
  <c r="H252" i="1" s="1"/>
  <c r="F250" i="1"/>
  <c r="F252" i="1" s="1"/>
  <c r="G252" i="1" s="1"/>
  <c r="E250" i="1"/>
  <c r="H249" i="1"/>
  <c r="F249" i="1"/>
  <c r="E249" i="1"/>
  <c r="E252" i="1" s="1"/>
  <c r="F207" i="1"/>
  <c r="G207" i="1" s="1"/>
  <c r="D207" i="1"/>
  <c r="G206" i="1"/>
  <c r="H205" i="1"/>
  <c r="F205" i="1"/>
  <c r="G205" i="1" s="1"/>
  <c r="E205" i="1"/>
  <c r="E207" i="1" s="1"/>
  <c r="H204" i="1"/>
  <c r="H207" i="1" s="1"/>
  <c r="G204" i="1"/>
  <c r="F204" i="1"/>
  <c r="E204" i="1"/>
  <c r="D184" i="1"/>
  <c r="H182" i="1"/>
  <c r="G182" i="1"/>
  <c r="F182" i="1"/>
  <c r="E182" i="1"/>
  <c r="H181" i="1"/>
  <c r="F181" i="1"/>
  <c r="E181" i="1"/>
  <c r="H180" i="1"/>
  <c r="H178" i="1" s="1"/>
  <c r="F180" i="1"/>
  <c r="E180" i="1"/>
  <c r="H179" i="1"/>
  <c r="F179" i="1"/>
  <c r="E179" i="1"/>
  <c r="E178" i="1" s="1"/>
  <c r="F178" i="1"/>
  <c r="G178" i="1" s="1"/>
  <c r="H177" i="1"/>
  <c r="G177" i="1"/>
  <c r="F177" i="1"/>
  <c r="E177" i="1"/>
  <c r="H176" i="1"/>
  <c r="F176" i="1"/>
  <c r="G175" i="1" s="1"/>
  <c r="E176" i="1"/>
  <c r="H175" i="1"/>
  <c r="H184" i="1" s="1"/>
  <c r="F175" i="1"/>
  <c r="E175" i="1"/>
  <c r="D150" i="1"/>
  <c r="I148" i="1"/>
  <c r="G148" i="1"/>
  <c r="F148" i="1"/>
  <c r="I147" i="1"/>
  <c r="G147" i="1"/>
  <c r="H147" i="1" s="1"/>
  <c r="F147" i="1"/>
  <c r="H146" i="1"/>
  <c r="H145" i="1"/>
  <c r="F145" i="1"/>
  <c r="I144" i="1"/>
  <c r="H144" i="1"/>
  <c r="G144" i="1"/>
  <c r="F144" i="1"/>
  <c r="I143" i="1"/>
  <c r="G143" i="1"/>
  <c r="H143" i="1" s="1"/>
  <c r="F143" i="1"/>
  <c r="I142" i="1"/>
  <c r="H142" i="1"/>
  <c r="G142" i="1"/>
  <c r="F142" i="1"/>
  <c r="I141" i="1"/>
  <c r="G141" i="1"/>
  <c r="H141" i="1" s="1"/>
  <c r="F141" i="1"/>
  <c r="I140" i="1"/>
  <c r="I139" i="1" s="1"/>
  <c r="H140" i="1"/>
  <c r="H139" i="1" s="1"/>
  <c r="G140" i="1"/>
  <c r="F140" i="1"/>
  <c r="G139" i="1"/>
  <c r="F139" i="1"/>
  <c r="E139" i="1"/>
  <c r="E133" i="1" s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E134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G129" i="1"/>
  <c r="H129" i="1" s="1"/>
  <c r="F129" i="1"/>
  <c r="F128" i="1" s="1"/>
  <c r="E128" i="1"/>
  <c r="E150" i="1" s="1"/>
  <c r="C126" i="1"/>
  <c r="H106" i="1"/>
  <c r="I105" i="1"/>
  <c r="H105" i="1"/>
  <c r="G105" i="1"/>
  <c r="F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F96" i="1" s="1"/>
  <c r="F95" i="1" s="1"/>
  <c r="I97" i="1"/>
  <c r="I96" i="1" s="1"/>
  <c r="I95" i="1" s="1"/>
  <c r="H97" i="1"/>
  <c r="H96" i="1" s="1"/>
  <c r="H95" i="1" s="1"/>
  <c r="G97" i="1"/>
  <c r="G96" i="1" s="1"/>
  <c r="G95" i="1" s="1"/>
  <c r="F97" i="1"/>
  <c r="E96" i="1"/>
  <c r="E95" i="1" s="1"/>
  <c r="D96" i="1"/>
  <c r="D95" i="1" s="1"/>
  <c r="D107" i="1" s="1"/>
  <c r="I94" i="1"/>
  <c r="I92" i="1" s="1"/>
  <c r="H94" i="1"/>
  <c r="H92" i="1" s="1"/>
  <c r="G94" i="1"/>
  <c r="F94" i="1"/>
  <c r="I93" i="1"/>
  <c r="G93" i="1"/>
  <c r="H93" i="1" s="1"/>
  <c r="F93" i="1"/>
  <c r="F92" i="1" s="1"/>
  <c r="G92" i="1"/>
  <c r="E92" i="1"/>
  <c r="E107" i="1" s="1"/>
  <c r="C89" i="1"/>
  <c r="H85" i="1"/>
  <c r="F85" i="1"/>
  <c r="D85" i="1"/>
  <c r="I32" i="1"/>
  <c r="E44" i="1"/>
  <c r="D44" i="1"/>
  <c r="H43" i="1"/>
  <c r="H42" i="1"/>
  <c r="I41" i="1"/>
  <c r="G41" i="1"/>
  <c r="H41" i="1" s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3" i="1"/>
  <c r="G33" i="1"/>
  <c r="H33" i="1" s="1"/>
  <c r="F33" i="1"/>
  <c r="F32" i="1"/>
  <c r="F27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5" i="1"/>
  <c r="G25" i="1"/>
  <c r="H25" i="1" s="1"/>
  <c r="F25" i="1"/>
  <c r="I24" i="1"/>
  <c r="G24" i="1"/>
  <c r="H24" i="1" s="1"/>
  <c r="F24" i="1"/>
  <c r="I23" i="1"/>
  <c r="G23" i="1"/>
  <c r="F23" i="1"/>
  <c r="H16" i="1"/>
  <c r="F16" i="1"/>
  <c r="D16" i="1"/>
  <c r="F34" i="1" l="1"/>
  <c r="F26" i="1" s="1"/>
  <c r="F44" i="1" s="1"/>
  <c r="I34" i="1"/>
  <c r="I27" i="1"/>
  <c r="G32" i="1"/>
  <c r="H32" i="1" s="1"/>
  <c r="H27" i="1" s="1"/>
  <c r="F150" i="1"/>
  <c r="E184" i="1"/>
  <c r="H107" i="1"/>
  <c r="H128" i="1"/>
  <c r="H134" i="1"/>
  <c r="H133" i="1" s="1"/>
  <c r="I107" i="1"/>
  <c r="H378" i="1"/>
  <c r="H389" i="1" s="1"/>
  <c r="H23" i="1"/>
  <c r="G107" i="1"/>
  <c r="F107" i="1"/>
  <c r="G184" i="1"/>
  <c r="I133" i="1"/>
  <c r="I150" i="1" s="1"/>
  <c r="F389" i="1"/>
  <c r="F184" i="1"/>
  <c r="G34" i="1"/>
  <c r="G128" i="1"/>
  <c r="H381" i="1"/>
  <c r="G134" i="1"/>
  <c r="G133" i="1" s="1"/>
  <c r="I26" i="1" l="1"/>
  <c r="I44" i="1" s="1"/>
  <c r="G27" i="1"/>
  <c r="G26" i="1" s="1"/>
  <c r="G44" i="1" s="1"/>
  <c r="G150" i="1"/>
  <c r="H150" i="1"/>
  <c r="H34" i="1"/>
  <c r="H26" i="1" s="1"/>
  <c r="H44" i="1" s="1"/>
</calcChain>
</file>

<file path=xl/sharedStrings.xml><?xml version="1.0" encoding="utf-8"?>
<sst xmlns="http://schemas.openxmlformats.org/spreadsheetml/2006/main" count="357" uniqueCount="149">
  <si>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</si>
  <si>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</si>
  <si>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</si>
  <si>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</si>
  <si>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</si>
  <si>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</si>
  <si>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</si>
  <si>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</si>
  <si>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</si>
  <si>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</si>
  <si>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</si>
  <si>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</si>
  <si>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</si>
  <si>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</si>
  <si>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</si>
  <si>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</si>
  <si>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</si>
  <si>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</si>
  <si>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</si>
  <si>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</si>
  <si>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</si>
  <si>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</si>
  <si>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</si>
  <si>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</si>
  <si>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</si>
  <si>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</si>
  <si>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</si>
  <si>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</si>
  <si>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</si>
  <si>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</si>
  <si>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</si>
  <si>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</si>
  <si>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</si>
  <si>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</si>
  <si>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</si>
  <si>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</si>
  <si>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</si>
  <si>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</si>
  <si>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</si>
  <si>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</si>
  <si>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</si>
  <si>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</si>
  <si>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</si>
  <si>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</si>
  <si>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</si>
  <si>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</si>
  <si>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</si>
  <si>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</si>
  <si>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</si>
  <si>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</si>
  <si>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</si>
  <si>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</si>
  <si>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</si>
  <si>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</si>
  <si>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</si>
  <si>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</si>
  <si>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</si>
  <si>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</si>
  <si>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</si>
  <si>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</si>
  <si>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</si>
  <si>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</si>
  <si>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</si>
  <si>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</si>
  <si>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</si>
  <si>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</si>
  <si>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</si>
  <si>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</si>
  <si>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</si>
  <si>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</si>
  <si>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</si>
  <si>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</si>
  <si>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</si>
  <si>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</si>
  <si>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</si>
  <si>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</si>
  <si>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</si>
  <si>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</si>
  <si>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</si>
  <si>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</si>
  <si>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</si>
  <si>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</si>
  <si>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</si>
  <si>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</si>
  <si>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</si>
  <si>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</si>
  <si>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</si>
  <si>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</si>
  <si>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</si>
  <si>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</si>
  <si>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</si>
  <si>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</si>
  <si>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</si>
  <si>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</si>
  <si>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</si>
  <si>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</si>
  <si>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</si>
  <si>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</si>
  <si>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</si>
  <si>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</si>
  <si>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</si>
  <si>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</si>
  <si>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</si>
  <si>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</si>
  <si>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</si>
  <si>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</si>
  <si>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</si>
  <si>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</si>
  <si>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</si>
  <si>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</si>
  <si>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</si>
  <si>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</si>
  <si>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</si>
  <si>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</si>
  <si>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</si>
  <si>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</si>
  <si>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</si>
  <si>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</si>
  <si>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</si>
  <si>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</si>
  <si>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</si>
  <si>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</si>
  <si>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</si>
  <si>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</si>
  <si>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</si>
  <si>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</si>
  <si>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</si>
  <si>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</si>
  <si>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</si>
  <si>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</si>
  <si>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</si>
  <si>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</si>
  <si>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</si>
  <si>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</si>
  <si>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</si>
  <si>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</si>
  <si>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</si>
  <si>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</si>
  <si>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</si>
  <si>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AV TORSK, HYSE, SEI, BLÅKVEITE, SNABELUER, LANGE, BROSME OG REKER I 2023</t>
  </si>
  <si>
    <t>FANGST UKE 45</t>
  </si>
  <si>
    <t>FANGST T.O.M UKE 45</t>
  </si>
  <si>
    <t>RESTKVOTER UKE 45</t>
  </si>
  <si>
    <t>FANGST T.O.M UKE 45 2022</t>
  </si>
  <si>
    <t>Reker i Nordsjøen og Skagerak følger et eget reguleringsår som starter med første periode 1. juli. Andre og tredje periode starter hhv. 1. november og 1. mars</t>
  </si>
  <si>
    <r>
      <t xml:space="preserve">3 </t>
    </r>
    <r>
      <rPr>
        <sz val="9"/>
        <color indexed="8"/>
        <rFont val="Calibri"/>
        <family val="2"/>
      </rPr>
      <t>Registrert rekreasjonsfiske utgjør 724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</si>
  <si>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69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</si>
  <si>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686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</si>
  <si>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7 600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</si>
</sst>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08"/>
  <sheetViews>
    <sheetView showGridLines="0" tabSelected="1" showRuler="0" view="pageLayout" zoomScale="70" zoomScaleNormal="85" zoomScaleSheetLayoutView="100" zoomScalePageLayoutView="70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6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89" t="s">
        <v>139</v>
      </c>
      <c r="C2" s="290"/>
      <c r="D2" s="290"/>
      <c r="E2" s="290"/>
      <c r="F2" s="290"/>
      <c r="G2" s="290"/>
      <c r="H2" s="290"/>
      <c r="I2" s="290"/>
      <c r="J2" s="291"/>
    </row>
    <row r="3" spans="1:10" ht="14.85" customHeight="1" x14ac:dyDescent="0.25">
      <c r="A3" s="1"/>
      <c r="B3" s="1"/>
      <c r="C3" s="1" t="s">
        <v>119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6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2"/>
      <c r="C9" s="293"/>
      <c r="D9" s="293"/>
      <c r="E9" s="293"/>
      <c r="F9" s="293"/>
      <c r="G9" s="293"/>
      <c r="H9" s="293"/>
      <c r="I9" s="293"/>
      <c r="J9" s="294"/>
    </row>
    <row r="10" spans="1:10" ht="12" customHeight="1" x14ac:dyDescent="0.25">
      <c r="A10" s="1"/>
      <c r="B10" s="251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5" t="s">
        <v>1</v>
      </c>
      <c r="D11" s="296"/>
      <c r="E11" s="295" t="s">
        <v>2</v>
      </c>
      <c r="F11" s="296"/>
      <c r="G11" s="295" t="s">
        <v>3</v>
      </c>
      <c r="H11" s="296"/>
      <c r="I11" s="181"/>
      <c r="J11" s="241"/>
    </row>
    <row r="12" spans="1:10" ht="14.1" customHeight="1" x14ac:dyDescent="0.25">
      <c r="A12" s="1"/>
      <c r="B12" s="251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1"/>
    </row>
    <row r="13" spans="1:10" ht="15.75" customHeight="1" x14ac:dyDescent="0.25">
      <c r="A13" s="1"/>
      <c r="B13" s="251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1"/>
    </row>
    <row r="14" spans="1:10" ht="14.25" customHeight="1" x14ac:dyDescent="0.25">
      <c r="A14" s="1"/>
      <c r="B14" s="251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1"/>
    </row>
    <row r="15" spans="1:10" ht="15.75" customHeight="1" x14ac:dyDescent="0.25">
      <c r="A15" s="1"/>
      <c r="B15" s="251"/>
      <c r="C15" s="117" t="s">
        <v>75</v>
      </c>
      <c r="D15" s="119">
        <v>78220</v>
      </c>
      <c r="E15" s="149"/>
      <c r="F15" s="169"/>
      <c r="G15" s="167" t="s">
        <v>12</v>
      </c>
      <c r="H15" s="288">
        <v>11040</v>
      </c>
      <c r="I15" s="181"/>
      <c r="J15" s="241"/>
    </row>
    <row r="16" spans="1:10" ht="14.1" customHeight="1" x14ac:dyDescent="0.25">
      <c r="A16" s="1"/>
      <c r="B16" s="251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1"/>
    </row>
    <row r="17" spans="1:10" ht="15" customHeight="1" x14ac:dyDescent="0.25">
      <c r="A17" s="101"/>
      <c r="B17" s="24"/>
      <c r="C17" s="101" t="s">
        <v>135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8"/>
      <c r="C18" s="269"/>
      <c r="D18" s="269"/>
      <c r="E18" s="111"/>
      <c r="F18" s="269"/>
      <c r="G18" s="269"/>
      <c r="H18" s="269"/>
      <c r="I18" s="269"/>
      <c r="J18" s="186"/>
    </row>
    <row r="19" spans="1:10" ht="15" customHeight="1" x14ac:dyDescent="0.25">
      <c r="A19" s="1"/>
      <c r="B19" s="251"/>
      <c r="C19" s="255"/>
      <c r="D19" s="255"/>
      <c r="E19" s="272"/>
      <c r="F19" s="255"/>
      <c r="G19" s="255"/>
      <c r="H19" s="255"/>
      <c r="I19" s="255"/>
      <c r="J19" s="3"/>
    </row>
    <row r="20" spans="1:10" ht="15" customHeight="1" x14ac:dyDescent="0.25">
      <c r="A20" s="1"/>
      <c r="B20" s="251"/>
      <c r="C20" s="18" t="s">
        <v>15</v>
      </c>
      <c r="D20" s="255"/>
      <c r="E20" s="272"/>
      <c r="F20" s="255"/>
      <c r="G20" s="255"/>
      <c r="H20" s="204"/>
      <c r="I20" s="255"/>
      <c r="J20" s="3"/>
    </row>
    <row r="21" spans="1:10" ht="12" customHeight="1" x14ac:dyDescent="0.25">
      <c r="A21" s="1"/>
      <c r="B21" s="251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7"/>
    </row>
    <row r="23" spans="1:10" ht="14.1" customHeight="1" x14ac:dyDescent="0.25">
      <c r="A23" s="1"/>
      <c r="B23" s="251"/>
      <c r="C23" s="16" t="s">
        <v>19</v>
      </c>
      <c r="D23" s="28">
        <v>79967</v>
      </c>
      <c r="E23" s="28">
        <v>86827</v>
      </c>
      <c r="F23" s="28">
        <f t="shared" ref="F23:I23" si="0">F25+F24</f>
        <v>1470.6894299999999</v>
      </c>
      <c r="G23" s="28">
        <f t="shared" si="0"/>
        <v>72757.725690000007</v>
      </c>
      <c r="H23" s="11">
        <f t="shared" si="0"/>
        <v>14069.274309999999</v>
      </c>
      <c r="I23" s="11">
        <f t="shared" si="0"/>
        <v>87208.505900000004</v>
      </c>
      <c r="J23" s="241"/>
    </row>
    <row r="24" spans="1:10" ht="14.1" customHeight="1" x14ac:dyDescent="0.25">
      <c r="A24" s="1"/>
      <c r="B24" s="251"/>
      <c r="C24" s="47" t="s">
        <v>20</v>
      </c>
      <c r="D24" s="48">
        <v>79217</v>
      </c>
      <c r="E24" s="48">
        <v>86045</v>
      </c>
      <c r="F24" s="23">
        <f>1470.68943</f>
        <v>1470.6894299999999</v>
      </c>
      <c r="G24" s="23">
        <f>72191.88734</f>
        <v>72191.887340000001</v>
      </c>
      <c r="H24" s="23">
        <f>E24-G24</f>
        <v>13853.112659999999</v>
      </c>
      <c r="I24" s="23">
        <f>86624.7081</f>
        <v>86624.708100000003</v>
      </c>
      <c r="J24" s="241"/>
    </row>
    <row r="25" spans="1:10" ht="14.1" customHeight="1" x14ac:dyDescent="0.25">
      <c r="A25" s="1"/>
      <c r="B25" s="251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565.83835</f>
        <v>565.83834999999999</v>
      </c>
      <c r="H25" s="23">
        <f>E25-G25</f>
        <v>216.16165000000001</v>
      </c>
      <c r="I25" s="23">
        <f>583.7978</f>
        <v>583.79780000000005</v>
      </c>
      <c r="J25" s="241"/>
    </row>
    <row r="26" spans="1:10" ht="14.1" customHeight="1" x14ac:dyDescent="0.25">
      <c r="A26" s="1"/>
      <c r="B26" s="251"/>
      <c r="C26" s="16" t="s">
        <v>22</v>
      </c>
      <c r="D26" s="28">
        <v>175233</v>
      </c>
      <c r="E26" s="28">
        <v>197570</v>
      </c>
      <c r="F26" s="28">
        <f t="shared" ref="F26:I26" si="1">F34+F33+F27</f>
        <v>1652.5666599999997</v>
      </c>
      <c r="G26" s="11">
        <f t="shared" si="1"/>
        <v>183289.58172999998</v>
      </c>
      <c r="H26" s="11">
        <f t="shared" si="1"/>
        <v>14280.418270000002</v>
      </c>
      <c r="I26" s="11">
        <f t="shared" si="1"/>
        <v>222145.07248000003</v>
      </c>
      <c r="J26" s="241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1071.1453499999998</v>
      </c>
      <c r="G27" s="134">
        <f t="shared" ref="G27:I27" si="2">G28+G29+G30+G31+G32</f>
        <v>142490.0704</v>
      </c>
      <c r="H27" s="134">
        <f t="shared" si="2"/>
        <v>10160.929599999999</v>
      </c>
      <c r="I27" s="134">
        <f t="shared" si="2"/>
        <v>178837.21840000001</v>
      </c>
      <c r="J27" s="241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241.33389</f>
        <v>241.33389</v>
      </c>
      <c r="G28" s="129">
        <f>38113.68638 - F57</f>
        <v>35652.686379999999</v>
      </c>
      <c r="H28" s="129">
        <f t="shared" ref="H28:H40" si="3">E28-G28</f>
        <v>3896.3136200000008</v>
      </c>
      <c r="I28" s="129">
        <f>44676.72708 - H57</f>
        <v>41402.727079999997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317.16128</f>
        <v>317.16127999999998</v>
      </c>
      <c r="G29" s="129">
        <f>41223.77712 - F58</f>
        <v>38663.777119999999</v>
      </c>
      <c r="H29" s="129">
        <f t="shared" si="3"/>
        <v>2100.2228800000012</v>
      </c>
      <c r="I29" s="129">
        <f>50358.04616 - H58</f>
        <v>48165.046159999998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71.61808</f>
        <v>71.618080000000006</v>
      </c>
      <c r="G30" s="129">
        <f>37402.9869 - F59</f>
        <v>36153.986900000004</v>
      </c>
      <c r="H30" s="129">
        <f t="shared" si="3"/>
        <v>1113.0130999999965</v>
      </c>
      <c r="I30" s="129">
        <f>48558.83185 - H59</f>
        <v>47238.831850000002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80.0321</f>
        <v>80.0321</v>
      </c>
      <c r="G31" s="129">
        <f>25335.62 - F60</f>
        <v>24526.62</v>
      </c>
      <c r="H31" s="129">
        <f t="shared" si="3"/>
        <v>880.38000000000102</v>
      </c>
      <c r="I31" s="129">
        <f>34436.61331 - H60</f>
        <v>33752.613310000001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361</v>
      </c>
      <c r="G32" s="129">
        <f>F55</f>
        <v>7493</v>
      </c>
      <c r="H32" s="129">
        <f t="shared" si="3"/>
        <v>2171</v>
      </c>
      <c r="I32" s="129">
        <f>H55</f>
        <v>8278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443.85011</f>
        <v>443.85010999999997</v>
      </c>
      <c r="G33" s="134">
        <f>19259.5572</f>
        <v>19259.557199999999</v>
      </c>
      <c r="H33" s="134">
        <f t="shared" si="3"/>
        <v>4326.4428000000007</v>
      </c>
      <c r="I33" s="134">
        <f>22058.59197</f>
        <v>22058.591970000001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137.5712</v>
      </c>
      <c r="G34" s="134">
        <f>G35+G36</f>
        <v>21539.954129999998</v>
      </c>
      <c r="H34" s="134">
        <f t="shared" si="3"/>
        <v>-206.95412999999826</v>
      </c>
      <c r="I34" s="134">
        <f>I35+I36</f>
        <v>21249.26211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95.5712</f>
        <v>95.571200000000005</v>
      </c>
      <c r="G35" s="134">
        <f>25179.95413 - F61 - F62</f>
        <v>20730.954129999998</v>
      </c>
      <c r="H35" s="129">
        <f t="shared" si="3"/>
        <v>-597.95412999999826</v>
      </c>
      <c r="I35" s="129">
        <f>22248.26211 - H61 - H62</f>
        <v>20565.26211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42</v>
      </c>
      <c r="G36" s="73">
        <f>F60</f>
        <v>809</v>
      </c>
      <c r="H36" s="73">
        <f t="shared" si="3"/>
        <v>391</v>
      </c>
      <c r="I36" s="73">
        <f>H60</f>
        <v>684</v>
      </c>
      <c r="J36" s="67"/>
    </row>
    <row r="37" spans="1:13" ht="15.75" customHeight="1" x14ac:dyDescent="0.25">
      <c r="A37" s="1"/>
      <c r="B37" s="251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746.7916</f>
        <v>746.79160000000002</v>
      </c>
      <c r="H37" s="141">
        <f t="shared" si="3"/>
        <v>2253.2084</v>
      </c>
      <c r="I37" s="141">
        <f>445.0706</f>
        <v>445.07060000000001</v>
      </c>
      <c r="J37" s="241"/>
    </row>
    <row r="38" spans="1:13" ht="14.1" customHeight="1" x14ac:dyDescent="0.25">
      <c r="A38" s="1"/>
      <c r="B38" s="251"/>
      <c r="C38" s="75" t="s">
        <v>34</v>
      </c>
      <c r="D38" s="145">
        <v>851</v>
      </c>
      <c r="E38" s="145">
        <v>851</v>
      </c>
      <c r="F38" s="100">
        <f>2.157</f>
        <v>2.157</v>
      </c>
      <c r="G38" s="100">
        <f>534.61262</f>
        <v>534.61261999999999</v>
      </c>
      <c r="H38" s="100">
        <f t="shared" si="3"/>
        <v>316.38738000000001</v>
      </c>
      <c r="I38" s="100">
        <f>515.38237</f>
        <v>515.38237000000004</v>
      </c>
      <c r="J38" s="241"/>
    </row>
    <row r="39" spans="1:13" ht="17.25" customHeight="1" x14ac:dyDescent="0.25">
      <c r="A39" s="1"/>
      <c r="B39" s="251"/>
      <c r="C39" s="75" t="s">
        <v>35</v>
      </c>
      <c r="D39" s="145">
        <v>3000</v>
      </c>
      <c r="E39" s="145">
        <v>3048</v>
      </c>
      <c r="F39" s="100">
        <f>E61</f>
        <v>14</v>
      </c>
      <c r="G39" s="100">
        <f>F61</f>
        <v>4449</v>
      </c>
      <c r="H39" s="100">
        <f t="shared" si="3"/>
        <v>-1401</v>
      </c>
      <c r="I39" s="100">
        <f>H61</f>
        <v>1683</v>
      </c>
      <c r="J39" s="241"/>
    </row>
    <row r="40" spans="1:13" ht="17.25" customHeight="1" x14ac:dyDescent="0.25">
      <c r="A40" s="1"/>
      <c r="B40" s="251"/>
      <c r="C40" s="75" t="s">
        <v>36</v>
      </c>
      <c r="D40" s="145">
        <v>7000</v>
      </c>
      <c r="E40" s="145">
        <v>7000</v>
      </c>
      <c r="F40" s="100">
        <f>3.50265</f>
        <v>3.50265</v>
      </c>
      <c r="G40" s="100">
        <v>7000</v>
      </c>
      <c r="H40" s="100">
        <f t="shared" si="3"/>
        <v>0</v>
      </c>
      <c r="I40" s="100">
        <v>7000</v>
      </c>
      <c r="J40" s="241"/>
    </row>
    <row r="41" spans="1:13" ht="17.25" customHeight="1" x14ac:dyDescent="0.25">
      <c r="A41" s="1"/>
      <c r="B41" s="251"/>
      <c r="C41" s="75" t="s">
        <v>38</v>
      </c>
      <c r="D41" s="145">
        <v>300</v>
      </c>
      <c r="E41" s="145">
        <v>300</v>
      </c>
      <c r="F41" s="100">
        <f>0.1005</f>
        <v>0.10050000000000001</v>
      </c>
      <c r="G41" s="100">
        <f>357.8696</f>
        <v>357.86959999999999</v>
      </c>
      <c r="H41" s="100">
        <f>E41-G41</f>
        <v>-57.869599999999991</v>
      </c>
      <c r="I41" s="100">
        <f>125.59205</f>
        <v>125.59205</v>
      </c>
      <c r="J41" s="241"/>
    </row>
    <row r="42" spans="1:13" ht="17.25" customHeight="1" x14ac:dyDescent="0.25">
      <c r="A42" s="1"/>
      <c r="B42" s="251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1"/>
      <c r="M42" s="222"/>
    </row>
    <row r="43" spans="1:13" ht="14.1" customHeight="1" x14ac:dyDescent="0.25">
      <c r="A43" s="1"/>
      <c r="B43" s="251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1"/>
    </row>
    <row r="44" spans="1:13" ht="16.5" customHeight="1" x14ac:dyDescent="0.25">
      <c r="A44" s="1"/>
      <c r="B44" s="251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3143.0192399999996</v>
      </c>
      <c r="G44" s="78">
        <f t="shared" si="4"/>
        <v>269215.14224000002</v>
      </c>
      <c r="H44" s="78">
        <f t="shared" si="4"/>
        <v>29480.85775999997</v>
      </c>
      <c r="I44" s="78">
        <f t="shared" si="4"/>
        <v>319243.56182999996</v>
      </c>
      <c r="J44" s="241"/>
    </row>
    <row r="45" spans="1:13" ht="14.1" customHeight="1" x14ac:dyDescent="0.25">
      <c r="A45" s="101"/>
      <c r="B45" s="24"/>
      <c r="C45" s="80" t="s">
        <v>127</v>
      </c>
      <c r="D45" s="255"/>
      <c r="E45" s="255"/>
      <c r="F45" s="82"/>
      <c r="G45" s="82"/>
      <c r="H45" s="225"/>
      <c r="I45" s="225"/>
      <c r="J45" s="83"/>
    </row>
    <row r="46" spans="1:13" ht="14.1" customHeight="1" x14ac:dyDescent="0.25">
      <c r="A46" s="101"/>
      <c r="B46" s="24"/>
      <c r="C46" s="84" t="s">
        <v>42</v>
      </c>
      <c r="D46" s="255"/>
      <c r="E46" s="255"/>
      <c r="F46" s="255"/>
      <c r="G46" s="82"/>
      <c r="H46" s="181"/>
      <c r="I46" s="181"/>
      <c r="J46" s="241"/>
    </row>
    <row r="47" spans="1:13" ht="14.1" customHeight="1" x14ac:dyDescent="0.25">
      <c r="A47" s="101"/>
      <c r="B47" s="24"/>
      <c r="C47" s="163" t="s">
        <v>145</v>
      </c>
      <c r="D47" s="255"/>
      <c r="E47" s="255"/>
      <c r="F47" s="255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126</v>
      </c>
      <c r="D48" s="255"/>
      <c r="E48" s="255"/>
      <c r="F48" s="255"/>
      <c r="G48" s="255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5"/>
      <c r="E49" s="255"/>
      <c r="F49" s="255"/>
      <c r="G49" s="255"/>
      <c r="H49" s="181"/>
      <c r="I49" s="181"/>
      <c r="J49" s="122"/>
    </row>
    <row r="50" spans="1:10" ht="14.1" customHeight="1" x14ac:dyDescent="0.25">
      <c r="A50" s="101"/>
      <c r="B50" s="24"/>
      <c r="C50" s="101"/>
      <c r="D50" s="255"/>
      <c r="E50" s="255"/>
      <c r="F50" s="255"/>
      <c r="G50" s="255"/>
      <c r="H50" s="181"/>
      <c r="I50" s="181"/>
      <c r="J50" s="122"/>
    </row>
    <row r="51" spans="1:10" ht="20.25" customHeight="1" x14ac:dyDescent="0.25">
      <c r="A51" s="101"/>
      <c r="B51" s="238"/>
      <c r="C51" s="269"/>
      <c r="D51" s="269"/>
      <c r="E51" s="111"/>
      <c r="F51" s="269"/>
      <c r="G51" s="269"/>
      <c r="H51" s="269"/>
      <c r="I51" s="269"/>
      <c r="J51" s="186"/>
    </row>
    <row r="52" spans="1:10" ht="33" customHeight="1" x14ac:dyDescent="0.25">
      <c r="A52" s="101"/>
      <c r="B52" s="24"/>
      <c r="C52" s="297" t="s">
        <v>44</v>
      </c>
      <c r="D52" s="297"/>
      <c r="E52" s="297"/>
      <c r="F52" s="297"/>
      <c r="G52" s="297"/>
      <c r="H52" s="297"/>
      <c r="I52" s="85"/>
      <c r="J52" s="86"/>
    </row>
    <row r="53" spans="1:10" ht="7.5" customHeight="1" thickBot="1" x14ac:dyDescent="0.3">
      <c r="A53" s="101"/>
      <c r="B53" s="24"/>
      <c r="C53" s="163"/>
      <c r="D53" s="255"/>
      <c r="E53" s="255"/>
      <c r="F53" s="255"/>
      <c r="G53" s="255"/>
      <c r="H53" s="181"/>
      <c r="I53" s="181"/>
      <c r="J53" s="122"/>
    </row>
    <row r="54" spans="1:10" ht="61.5" customHeight="1" thickBot="1" x14ac:dyDescent="0.3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5"/>
      <c r="J54" s="241"/>
    </row>
    <row r="55" spans="1:10" ht="14.1" customHeight="1" x14ac:dyDescent="0.25">
      <c r="A55" s="101"/>
      <c r="B55" s="24"/>
      <c r="C55" s="16" t="s">
        <v>46</v>
      </c>
      <c r="D55" s="298">
        <v>9840</v>
      </c>
      <c r="E55" s="11">
        <f>E59+E58+E57+E56</f>
        <v>361</v>
      </c>
      <c r="F55" s="11">
        <f>F59+F58+F57+F56</f>
        <v>7493</v>
      </c>
      <c r="G55" s="298">
        <f>D55-F55</f>
        <v>2347</v>
      </c>
      <c r="H55" s="11">
        <f>H59+H58+H57+H56</f>
        <v>8278</v>
      </c>
      <c r="I55" s="255"/>
      <c r="J55" s="241"/>
    </row>
    <row r="56" spans="1:10" ht="14.1" customHeight="1" x14ac:dyDescent="0.25">
      <c r="A56" s="101"/>
      <c r="B56" s="24"/>
      <c r="C56" s="64" t="s">
        <v>24</v>
      </c>
      <c r="D56" s="299"/>
      <c r="E56" s="129">
        <v>112</v>
      </c>
      <c r="F56" s="129">
        <v>1223</v>
      </c>
      <c r="G56" s="299"/>
      <c r="H56" s="129">
        <v>1491</v>
      </c>
      <c r="I56" s="255"/>
      <c r="J56" s="241"/>
    </row>
    <row r="57" spans="1:10" ht="14.1" customHeight="1" x14ac:dyDescent="0.25">
      <c r="A57" s="101"/>
      <c r="B57" s="24"/>
      <c r="C57" s="64" t="s">
        <v>25</v>
      </c>
      <c r="D57" s="299"/>
      <c r="E57" s="129">
        <v>158</v>
      </c>
      <c r="F57" s="129">
        <v>2461</v>
      </c>
      <c r="G57" s="299"/>
      <c r="H57" s="129">
        <v>3274</v>
      </c>
      <c r="I57" s="255"/>
      <c r="J57" s="241"/>
    </row>
    <row r="58" spans="1:10" ht="14.1" customHeight="1" x14ac:dyDescent="0.25">
      <c r="A58" s="101"/>
      <c r="B58" s="24"/>
      <c r="C58" s="64" t="s">
        <v>26</v>
      </c>
      <c r="D58" s="299"/>
      <c r="E58" s="129">
        <v>27</v>
      </c>
      <c r="F58" s="129">
        <v>2560</v>
      </c>
      <c r="G58" s="299"/>
      <c r="H58" s="129">
        <v>2193</v>
      </c>
      <c r="I58" s="255"/>
      <c r="J58" s="241"/>
    </row>
    <row r="59" spans="1:10" ht="14.1" customHeight="1" thickBot="1" x14ac:dyDescent="0.3">
      <c r="A59" s="101"/>
      <c r="B59" s="24"/>
      <c r="C59" s="89" t="s">
        <v>27</v>
      </c>
      <c r="D59" s="300"/>
      <c r="E59" s="194">
        <v>64</v>
      </c>
      <c r="F59" s="194">
        <v>1249</v>
      </c>
      <c r="G59" s="300"/>
      <c r="H59" s="194">
        <v>1320</v>
      </c>
      <c r="I59" s="255"/>
      <c r="J59" s="241"/>
    </row>
    <row r="60" spans="1:10" ht="14.1" customHeight="1" thickBot="1" x14ac:dyDescent="0.3">
      <c r="A60" s="101"/>
      <c r="B60" s="24"/>
      <c r="C60" s="91" t="s">
        <v>47</v>
      </c>
      <c r="D60" s="97">
        <v>1200</v>
      </c>
      <c r="E60" s="97">
        <v>42</v>
      </c>
      <c r="F60" s="97">
        <v>809</v>
      </c>
      <c r="G60" s="97">
        <f>D60-F60</f>
        <v>391</v>
      </c>
      <c r="H60" s="97">
        <v>684</v>
      </c>
      <c r="I60" s="255"/>
      <c r="J60" s="241"/>
    </row>
    <row r="61" spans="1:10" ht="14.1" customHeight="1" thickBot="1" x14ac:dyDescent="0.3">
      <c r="A61" s="101"/>
      <c r="B61" s="24"/>
      <c r="C61" s="144" t="s">
        <v>48</v>
      </c>
      <c r="D61" s="141">
        <v>3000</v>
      </c>
      <c r="E61" s="141">
        <v>14</v>
      </c>
      <c r="F61" s="141">
        <v>4449</v>
      </c>
      <c r="G61" s="141">
        <f>D61-F61</f>
        <v>-1449</v>
      </c>
      <c r="H61" s="141">
        <v>1683</v>
      </c>
      <c r="I61" s="255"/>
      <c r="J61" s="241"/>
    </row>
    <row r="62" spans="1:10" ht="14.1" customHeight="1" x14ac:dyDescent="0.25">
      <c r="A62" s="101"/>
      <c r="B62" s="24"/>
      <c r="C62" s="80" t="s">
        <v>123</v>
      </c>
      <c r="D62" s="255"/>
      <c r="E62" s="255"/>
      <c r="F62" s="255"/>
      <c r="G62" s="255"/>
      <c r="H62" s="181"/>
      <c r="I62" s="181"/>
      <c r="J62" s="122"/>
    </row>
    <row r="63" spans="1:10" ht="14.1" customHeight="1" x14ac:dyDescent="0.25">
      <c r="A63" s="101"/>
      <c r="B63" s="24"/>
      <c r="C63" s="163"/>
      <c r="D63" s="255"/>
      <c r="E63" s="255"/>
      <c r="F63" s="255"/>
      <c r="G63" s="255"/>
      <c r="H63" s="181"/>
      <c r="I63" s="181"/>
      <c r="J63" s="122"/>
    </row>
    <row r="64" spans="1:10" ht="15" customHeight="1" x14ac:dyDescent="0.25">
      <c r="A64" s="101"/>
      <c r="B64" s="24"/>
      <c r="C64" s="163"/>
      <c r="D64" s="255"/>
      <c r="E64" s="255"/>
      <c r="F64" s="255"/>
      <c r="G64" s="255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5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119</v>
      </c>
      <c r="C68" s="285"/>
      <c r="D68" s="121"/>
      <c r="E68" s="121"/>
      <c r="F68" s="121"/>
      <c r="G68" s="121"/>
      <c r="H68" s="1"/>
      <c r="I68" s="1"/>
      <c r="J68" s="1"/>
    </row>
    <row r="77" spans="1:10" ht="109.5" customHeight="1" x14ac:dyDescent="0.25"/>
    <row r="78" spans="1:10" ht="17.100000000000001" customHeight="1" x14ac:dyDescent="0.25">
      <c r="B78" s="2"/>
      <c r="C78" s="216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6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5" t="s">
        <v>1</v>
      </c>
      <c r="D81" s="296"/>
      <c r="E81" s="295" t="s">
        <v>2</v>
      </c>
      <c r="F81" s="301"/>
      <c r="G81" s="295" t="s">
        <v>3</v>
      </c>
      <c r="H81" s="296"/>
      <c r="I81" s="181"/>
      <c r="J81" s="241"/>
    </row>
    <row r="82" spans="1:10" ht="15" customHeight="1" x14ac:dyDescent="0.25">
      <c r="B82" s="251"/>
      <c r="C82" s="117" t="s">
        <v>6</v>
      </c>
      <c r="D82" s="119">
        <v>84177</v>
      </c>
      <c r="E82" s="256" t="s">
        <v>4</v>
      </c>
      <c r="F82" s="116">
        <v>32035</v>
      </c>
      <c r="G82" s="193" t="s">
        <v>5</v>
      </c>
      <c r="H82" s="116">
        <v>9408</v>
      </c>
      <c r="I82" s="181"/>
      <c r="J82" s="241"/>
    </row>
    <row r="83" spans="1:10" ht="15" customHeight="1" x14ac:dyDescent="0.25">
      <c r="B83" s="251"/>
      <c r="C83" s="117" t="s">
        <v>9</v>
      </c>
      <c r="D83" s="119">
        <v>75177</v>
      </c>
      <c r="E83" s="245" t="s">
        <v>7</v>
      </c>
      <c r="F83" s="119">
        <v>52267</v>
      </c>
      <c r="G83" s="193" t="s">
        <v>8</v>
      </c>
      <c r="H83" s="119">
        <v>38678</v>
      </c>
      <c r="I83" s="181"/>
      <c r="J83" s="241"/>
    </row>
    <row r="84" spans="1:10" ht="14.1" customHeight="1" x14ac:dyDescent="0.25">
      <c r="B84" s="251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1"/>
    </row>
    <row r="85" spans="1:10" ht="12" customHeight="1" x14ac:dyDescent="0.25">
      <c r="B85" s="251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1"/>
    </row>
    <row r="86" spans="1:10" ht="14.25" customHeight="1" x14ac:dyDescent="0.25">
      <c r="A86" s="1"/>
      <c r="B86" s="251"/>
      <c r="C86" s="101" t="s">
        <v>136</v>
      </c>
      <c r="D86" s="217"/>
      <c r="E86" s="217"/>
      <c r="F86" s="217"/>
      <c r="G86" s="217"/>
      <c r="H86" s="217"/>
      <c r="I86" s="233"/>
      <c r="J86" s="122"/>
    </row>
    <row r="87" spans="1:10" ht="6" customHeight="1" x14ac:dyDescent="0.25">
      <c r="A87" s="1"/>
      <c r="B87" s="251"/>
      <c r="C87" s="98"/>
      <c r="D87" s="98"/>
      <c r="E87" s="98"/>
      <c r="F87" s="98"/>
      <c r="G87" s="98"/>
      <c r="H87" s="98"/>
      <c r="I87" s="233"/>
      <c r="J87" s="122"/>
    </row>
    <row r="88" spans="1:10" ht="14.1" customHeight="1" x14ac:dyDescent="0.25">
      <c r="A88" s="1"/>
      <c r="B88" s="135"/>
      <c r="C88" s="269"/>
      <c r="D88" s="111"/>
      <c r="E88" s="269"/>
      <c r="F88" s="269"/>
      <c r="G88" s="269"/>
      <c r="H88" s="269"/>
      <c r="I88" s="258"/>
      <c r="J88" s="186"/>
    </row>
    <row r="89" spans="1:10" ht="20.25" customHeight="1" x14ac:dyDescent="0.25">
      <c r="A89" s="1"/>
      <c r="B89" s="251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1"/>
      <c r="C90" s="287"/>
      <c r="D90" s="287"/>
      <c r="E90" s="287"/>
      <c r="F90" s="287"/>
      <c r="G90" s="287"/>
      <c r="H90" s="287"/>
      <c r="I90" s="287"/>
      <c r="J90" s="19"/>
    </row>
    <row r="91" spans="1:10" ht="54" customHeight="1" x14ac:dyDescent="0.25">
      <c r="A91" s="1"/>
      <c r="B91" s="251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1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531.35032999999999</v>
      </c>
      <c r="G92" s="11">
        <f t="shared" si="5"/>
        <v>45607.60873</v>
      </c>
      <c r="H92" s="11">
        <f t="shared" si="5"/>
        <v>-10808.608730000002</v>
      </c>
      <c r="I92" s="11">
        <f t="shared" si="5"/>
        <v>37427.158280000003</v>
      </c>
      <c r="J92" s="241"/>
    </row>
    <row r="93" spans="1:10" ht="15" customHeight="1" x14ac:dyDescent="0.25">
      <c r="A93" s="1"/>
      <c r="B93" s="251"/>
      <c r="C93" s="47" t="s">
        <v>20</v>
      </c>
      <c r="D93" s="48">
        <v>31285</v>
      </c>
      <c r="E93" s="48">
        <v>33987</v>
      </c>
      <c r="F93" s="23">
        <f>531.35033</f>
        <v>531.35032999999999</v>
      </c>
      <c r="G93" s="23">
        <f>45044.62694</f>
        <v>45044.626940000002</v>
      </c>
      <c r="H93" s="23">
        <f>E93-G93</f>
        <v>-11057.626940000002</v>
      </c>
      <c r="I93" s="23">
        <f>36685.25187</f>
        <v>36685.25187</v>
      </c>
      <c r="J93" s="241"/>
    </row>
    <row r="94" spans="1:10" ht="14.1" customHeight="1" x14ac:dyDescent="0.25">
      <c r="A94" s="1"/>
      <c r="B94" s="251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562.98179</f>
        <v>562.98179000000005</v>
      </c>
      <c r="H94" s="52">
        <f>E94-G94</f>
        <v>249.01820999999995</v>
      </c>
      <c r="I94" s="52">
        <f>741.90641</f>
        <v>741.90641000000005</v>
      </c>
      <c r="J94" s="241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589.73836000000006</v>
      </c>
      <c r="G95" s="11">
        <f t="shared" si="6"/>
        <v>36872.897550000002</v>
      </c>
      <c r="H95" s="11">
        <f t="shared" si="6"/>
        <v>22627.102449999998</v>
      </c>
      <c r="I95" s="11">
        <f t="shared" si="6"/>
        <v>39128.838449999996</v>
      </c>
      <c r="J95" s="241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384.85732000000002</v>
      </c>
      <c r="G96" s="134">
        <f t="shared" si="7"/>
        <v>24662.08857</v>
      </c>
      <c r="H96" s="134">
        <f t="shared" si="7"/>
        <v>19828.91143</v>
      </c>
      <c r="I96" s="134">
        <f t="shared" si="7"/>
        <v>29966.013429999995</v>
      </c>
      <c r="J96" s="241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175.2686</f>
        <v>175.26859999999999</v>
      </c>
      <c r="G97" s="129">
        <f>4538.40049</f>
        <v>4538.40049</v>
      </c>
      <c r="H97" s="129">
        <f t="shared" ref="H97:H104" si="8">E97-G97</f>
        <v>7345.2995100000007</v>
      </c>
      <c r="I97" s="129">
        <f>3919.881</f>
        <v>3919.8809999999999</v>
      </c>
      <c r="J97" s="241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143.12191</f>
        <v>143.12191000000001</v>
      </c>
      <c r="G98" s="129">
        <f>7703.55748</f>
        <v>7703.5574800000004</v>
      </c>
      <c r="H98" s="129">
        <f t="shared" si="8"/>
        <v>4961.54252</v>
      </c>
      <c r="I98" s="129">
        <f>9952.72987</f>
        <v>9952.7298699999992</v>
      </c>
      <c r="J98" s="241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18.65769</f>
        <v>18.657689999999999</v>
      </c>
      <c r="G99" s="129">
        <f>7002.60641</f>
        <v>7002.6064100000003</v>
      </c>
      <c r="H99" s="129">
        <f t="shared" si="8"/>
        <v>4962.99359</v>
      </c>
      <c r="I99" s="129">
        <f>8402.9928</f>
        <v>8402.9928</v>
      </c>
      <c r="J99" s="241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47.80912</f>
        <v>47.80912</v>
      </c>
      <c r="G100" s="129">
        <f>5417.52419</f>
        <v>5417.5241900000001</v>
      </c>
      <c r="H100" s="129">
        <f t="shared" si="8"/>
        <v>2559.0758100000003</v>
      </c>
      <c r="I100" s="129">
        <f>7690.40976</f>
        <v>7690.4097599999996</v>
      </c>
      <c r="J100" s="241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113.84038</f>
        <v>113.84038</v>
      </c>
      <c r="G101" s="134">
        <f>9958.0382</f>
        <v>9958.0382000000009</v>
      </c>
      <c r="H101" s="134">
        <f t="shared" si="8"/>
        <v>432.96179999999913</v>
      </c>
      <c r="I101" s="134">
        <f>7177.98729</f>
        <v>7177.98729</v>
      </c>
      <c r="J101" s="241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91.04066</f>
        <v>91.040660000000003</v>
      </c>
      <c r="G102" s="77">
        <f>2252.77078</f>
        <v>2252.7707799999998</v>
      </c>
      <c r="H102" s="77">
        <f t="shared" si="8"/>
        <v>2365.2292200000002</v>
      </c>
      <c r="I102" s="77">
        <f>1984.83773</f>
        <v>1984.83773</v>
      </c>
      <c r="J102" s="241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0.11628</f>
        <v>0.11627999999999999</v>
      </c>
      <c r="G103" s="100">
        <f>11.77585</f>
        <v>11.77585</v>
      </c>
      <c r="H103" s="100">
        <f t="shared" si="8"/>
        <v>308.22415000000001</v>
      </c>
      <c r="I103" s="100">
        <f>22.26113</f>
        <v>22.261130000000001</v>
      </c>
      <c r="J103" s="241"/>
    </row>
    <row r="104" spans="1:10" ht="18" customHeight="1" x14ac:dyDescent="0.25">
      <c r="A104" s="1"/>
      <c r="B104" s="251"/>
      <c r="C104" s="75" t="s">
        <v>55</v>
      </c>
      <c r="D104" s="145">
        <v>300</v>
      </c>
      <c r="E104" s="145">
        <v>300</v>
      </c>
      <c r="F104" s="141">
        <f>0.3921</f>
        <v>0.3921</v>
      </c>
      <c r="G104" s="141">
        <v>300</v>
      </c>
      <c r="H104" s="141">
        <f t="shared" si="8"/>
        <v>0</v>
      </c>
      <c r="I104" s="141">
        <v>300</v>
      </c>
      <c r="J104" s="241"/>
    </row>
    <row r="105" spans="1:10" ht="16.5" customHeight="1" x14ac:dyDescent="0.25">
      <c r="A105" s="1"/>
      <c r="B105" s="251"/>
      <c r="C105" s="95" t="s">
        <v>38</v>
      </c>
      <c r="D105" s="145">
        <v>50</v>
      </c>
      <c r="E105" s="145">
        <v>50</v>
      </c>
      <c r="F105" s="100">
        <f>0.0466</f>
        <v>4.6600000000000003E-2</v>
      </c>
      <c r="G105" s="100">
        <f>12.71436</f>
        <v>12.714359999999999</v>
      </c>
      <c r="H105" s="141">
        <f>E105-G105</f>
        <v>37.285640000000001</v>
      </c>
      <c r="I105" s="100">
        <f>5.7243</f>
        <v>5.7243000000000004</v>
      </c>
      <c r="J105" s="241"/>
    </row>
    <row r="106" spans="1:10" ht="18" customHeight="1" x14ac:dyDescent="0.25">
      <c r="A106" s="1"/>
      <c r="B106" s="251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1"/>
    </row>
    <row r="107" spans="1:10" ht="16.5" customHeight="1" x14ac:dyDescent="0.25">
      <c r="A107" s="1"/>
      <c r="B107" s="251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1121.6436699999999</v>
      </c>
      <c r="G107" s="78">
        <f t="shared" si="9"/>
        <v>82813.764289999992</v>
      </c>
      <c r="H107" s="78">
        <f t="shared" si="9"/>
        <v>12155.23571000001</v>
      </c>
      <c r="I107" s="78">
        <f t="shared" si="9"/>
        <v>76927.716939999998</v>
      </c>
      <c r="J107" s="241"/>
    </row>
    <row r="108" spans="1:10" ht="13.5" customHeight="1" x14ac:dyDescent="0.25">
      <c r="A108" s="1"/>
      <c r="B108" s="251"/>
      <c r="C108" s="80" t="s">
        <v>125</v>
      </c>
      <c r="D108" s="103"/>
      <c r="E108" s="103"/>
      <c r="F108" s="104"/>
      <c r="G108" s="104"/>
      <c r="H108" s="106"/>
      <c r="I108" s="225"/>
      <c r="J108" s="241"/>
    </row>
    <row r="109" spans="1:10" ht="13.5" customHeight="1" x14ac:dyDescent="0.25">
      <c r="A109" s="1"/>
      <c r="B109" s="24"/>
      <c r="C109" s="163" t="s">
        <v>146</v>
      </c>
      <c r="D109" s="255"/>
      <c r="E109" s="255"/>
      <c r="F109" s="82"/>
      <c r="G109" s="82"/>
      <c r="H109" s="225"/>
      <c r="I109" s="225"/>
      <c r="J109" s="107"/>
    </row>
    <row r="110" spans="1:10" ht="15" customHeight="1" x14ac:dyDescent="0.25">
      <c r="A110" s="1"/>
      <c r="B110" s="24"/>
      <c r="C110" s="163" t="s">
        <v>124</v>
      </c>
      <c r="D110" s="255"/>
      <c r="E110" s="255"/>
      <c r="F110" s="82"/>
      <c r="G110" s="82"/>
      <c r="H110" s="225"/>
      <c r="I110" s="225"/>
      <c r="J110" s="107"/>
    </row>
    <row r="111" spans="1:10" ht="15" customHeight="1" x14ac:dyDescent="0.25">
      <c r="A111" s="1"/>
      <c r="B111" s="24"/>
      <c r="C111" s="225" t="s">
        <v>57</v>
      </c>
      <c r="D111" s="255"/>
      <c r="E111" s="255"/>
      <c r="F111" s="82"/>
      <c r="G111" s="82"/>
      <c r="H111" s="225"/>
      <c r="I111" s="225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119</v>
      </c>
      <c r="D113" s="225"/>
      <c r="E113" s="225"/>
      <c r="F113" s="225"/>
      <c r="G113" s="225"/>
      <c r="H113" s="225"/>
      <c r="I113" s="101"/>
      <c r="J113" s="101" t="s">
        <v>119</v>
      </c>
    </row>
    <row r="114" spans="1:10" ht="14.25" customHeight="1" x14ac:dyDescent="0.25">
      <c r="A114" s="1"/>
      <c r="B114" s="101"/>
      <c r="C114" s="101" t="s">
        <v>119</v>
      </c>
      <c r="D114" s="101" t="s">
        <v>119</v>
      </c>
      <c r="E114" s="101"/>
      <c r="F114" s="101"/>
      <c r="G114" s="101"/>
      <c r="H114" s="101"/>
      <c r="I114" s="101"/>
      <c r="J114" s="101" t="s">
        <v>119</v>
      </c>
    </row>
    <row r="115" spans="1:10" ht="17.100000000000001" customHeight="1" x14ac:dyDescent="0.25">
      <c r="A115" s="215"/>
      <c r="B115" s="215"/>
      <c r="C115" s="216" t="s">
        <v>58</v>
      </c>
      <c r="D115" s="215"/>
      <c r="E115" s="215"/>
      <c r="F115" s="215"/>
      <c r="G115" s="215"/>
      <c r="H115" s="215"/>
      <c r="I115" s="215"/>
      <c r="J115" s="215"/>
    </row>
    <row r="116" spans="1:10" ht="3" customHeight="1" x14ac:dyDescent="0.25">
      <c r="A116" s="215"/>
      <c r="B116" s="215"/>
      <c r="C116" s="216"/>
      <c r="D116" s="215"/>
      <c r="E116" s="215"/>
      <c r="F116" s="215"/>
      <c r="G116" s="215"/>
      <c r="H116" s="215"/>
      <c r="I116" s="215"/>
      <c r="J116" s="215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1"/>
    </row>
    <row r="119" spans="1:10" ht="14.1" customHeight="1" x14ac:dyDescent="0.25">
      <c r="A119" s="1"/>
      <c r="B119" s="251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1"/>
    </row>
    <row r="120" spans="1:10" ht="14.1" customHeight="1" x14ac:dyDescent="0.25">
      <c r="A120" s="1"/>
      <c r="B120" s="251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1"/>
    </row>
    <row r="121" spans="1:10" ht="14.1" customHeight="1" x14ac:dyDescent="0.25">
      <c r="A121" s="1"/>
      <c r="B121" s="251"/>
      <c r="C121" s="245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1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1"/>
    </row>
    <row r="123" spans="1:10" ht="12" customHeight="1" x14ac:dyDescent="0.25">
      <c r="A123" s="1"/>
      <c r="B123" s="251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1"/>
    </row>
    <row r="124" spans="1:10" ht="12" customHeight="1" x14ac:dyDescent="0.25">
      <c r="A124" s="101"/>
      <c r="B124" s="24"/>
      <c r="C124" s="101" t="s">
        <v>128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8"/>
      <c r="C125" s="269"/>
      <c r="D125" s="269"/>
      <c r="E125" s="230"/>
      <c r="F125" s="230"/>
      <c r="G125" s="230"/>
      <c r="H125" s="230"/>
      <c r="I125" s="230"/>
      <c r="J125" s="242"/>
    </row>
    <row r="126" spans="1:10" ht="25.5" customHeight="1" x14ac:dyDescent="0.25">
      <c r="A126" s="1"/>
      <c r="B126" s="251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1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7"/>
    </row>
    <row r="128" spans="1:10" ht="14.1" customHeight="1" x14ac:dyDescent="0.25">
      <c r="A128" s="1"/>
      <c r="B128" s="251"/>
      <c r="C128" s="16" t="s">
        <v>63</v>
      </c>
      <c r="D128" s="28">
        <v>77294</v>
      </c>
      <c r="E128" s="28">
        <f t="shared" ref="E128" si="10">E129+E130+E131</f>
        <v>70707</v>
      </c>
      <c r="F128" s="11">
        <f t="shared" ref="F128:I128" si="11">F129+F130+F131</f>
        <v>497.66615999999999</v>
      </c>
      <c r="G128" s="11">
        <f t="shared" si="11"/>
        <v>67456.421499999997</v>
      </c>
      <c r="H128" s="11">
        <f t="shared" si="11"/>
        <v>3250.5785000000019</v>
      </c>
      <c r="I128" s="11">
        <f t="shared" si="11"/>
        <v>59591.298170000002</v>
      </c>
      <c r="J128" s="241"/>
    </row>
    <row r="129" spans="1:10" ht="14.1" customHeight="1" x14ac:dyDescent="0.25">
      <c r="A129" s="1"/>
      <c r="B129" s="251"/>
      <c r="C129" s="47" t="s">
        <v>20</v>
      </c>
      <c r="D129" s="48">
        <v>61835</v>
      </c>
      <c r="E129" s="48">
        <v>56225</v>
      </c>
      <c r="F129" s="23">
        <f>485.72416</f>
        <v>485.72415999999998</v>
      </c>
      <c r="G129" s="23">
        <f>59094.2449</f>
        <v>59094.244899999998</v>
      </c>
      <c r="H129" s="23">
        <f>E129-G129</f>
        <v>-2869.2448999999979</v>
      </c>
      <c r="I129" s="23">
        <f>50606.32256</f>
        <v>50606.322560000001</v>
      </c>
      <c r="J129" s="241"/>
    </row>
    <row r="130" spans="1:10" ht="15" customHeight="1" x14ac:dyDescent="0.25">
      <c r="A130" s="1"/>
      <c r="B130" s="251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8206.89055</f>
        <v>8206.8905500000001</v>
      </c>
      <c r="H130" s="23">
        <f>E130-G130</f>
        <v>5775.1094499999999</v>
      </c>
      <c r="I130" s="23">
        <f>8732.68561</f>
        <v>8732.6856100000005</v>
      </c>
      <c r="J130" s="241"/>
    </row>
    <row r="131" spans="1:10" ht="13.5" customHeight="1" x14ac:dyDescent="0.25">
      <c r="A131" s="1"/>
      <c r="B131" s="251"/>
      <c r="C131" s="50" t="s">
        <v>64</v>
      </c>
      <c r="D131" s="33">
        <v>500</v>
      </c>
      <c r="E131" s="33">
        <v>500</v>
      </c>
      <c r="F131" s="23">
        <f>11.942</f>
        <v>11.942</v>
      </c>
      <c r="G131" s="23">
        <f>155.28605</f>
        <v>155.28604999999999</v>
      </c>
      <c r="H131" s="58">
        <f>E131-G131</f>
        <v>344.71395000000001</v>
      </c>
      <c r="I131" s="23">
        <f>252.29</f>
        <v>252.29</v>
      </c>
      <c r="J131" s="241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18.669</f>
        <v>18.669</v>
      </c>
      <c r="G132" s="97">
        <f>38901.65218 +7600.16827</f>
        <v>46501.820449999999</v>
      </c>
      <c r="H132" s="97">
        <f>E132-G132</f>
        <v>2783.1795500000007</v>
      </c>
      <c r="I132" s="97">
        <f>40783.72448</f>
        <v>40783.724479999997</v>
      </c>
      <c r="J132" s="118"/>
    </row>
    <row r="133" spans="1:10" ht="15.75" customHeight="1" x14ac:dyDescent="0.25">
      <c r="A133" s="1"/>
      <c r="B133" s="251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2257.8736100000001</v>
      </c>
      <c r="G133" s="96">
        <f t="shared" ref="G133" si="12">G134+G139+G142</f>
        <v>67193.949609999996</v>
      </c>
      <c r="H133" s="96">
        <f>H134+H139+H142</f>
        <v>13918.050389999999</v>
      </c>
      <c r="I133" s="96">
        <f>I134+I139+I142</f>
        <v>70232.89390000001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1950.4616599999999</v>
      </c>
      <c r="G134" s="127">
        <f>G135+G136+G138+G137</f>
        <v>51375.252410000001</v>
      </c>
      <c r="H134" s="127">
        <f>H135+H136+H137+H138</f>
        <v>8257.747589999999</v>
      </c>
      <c r="I134" s="127">
        <f>I135+I136+I137+I138</f>
        <v>55346.770230000002</v>
      </c>
      <c r="J134" s="277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366.31506</f>
        <v>366.31506000000002</v>
      </c>
      <c r="G135" s="129">
        <v>10429.9581</v>
      </c>
      <c r="H135" s="129">
        <f>E135-G135</f>
        <v>7108.0419000000002</v>
      </c>
      <c r="I135" s="129">
        <f>9587.24661</f>
        <v>9587.2466100000001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641.85805</f>
        <v>641.85805000000005</v>
      </c>
      <c r="G136" s="129">
        <v>15606.330320000001</v>
      </c>
      <c r="H136" s="129">
        <f>E136-G136</f>
        <v>-488.33032000000094</v>
      </c>
      <c r="I136" s="129">
        <f>12606.98081</f>
        <v>12606.980809999999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433.33699</f>
        <v>433.33699000000001</v>
      </c>
      <c r="G137" s="129">
        <v>14022.972679999999</v>
      </c>
      <c r="H137" s="129">
        <f>E137-G137</f>
        <v>1033.0273200000011</v>
      </c>
      <c r="I137" s="129">
        <f>17567.09957</f>
        <v>17567.099569999998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508.95156</f>
        <v>508.95155999999997</v>
      </c>
      <c r="G138" s="129">
        <v>11315.991310000001</v>
      </c>
      <c r="H138" s="129">
        <f>E138-G138</f>
        <v>605.00868999999875</v>
      </c>
      <c r="I138" s="129">
        <f>15585.44324</f>
        <v>15585.443240000001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99.668399999999991</v>
      </c>
      <c r="G139" s="134">
        <f>SUM(G140:G141)</f>
        <v>7840.5574500000002</v>
      </c>
      <c r="H139" s="134">
        <f>H140+H141</f>
        <v>1610.44255</v>
      </c>
      <c r="I139" s="134">
        <f>SUM(I140:I141)</f>
        <v>6841.6806100000003</v>
      </c>
      <c r="J139" s="136"/>
    </row>
    <row r="140" spans="1:10" ht="14.1" customHeight="1" x14ac:dyDescent="0.25">
      <c r="A140" s="1"/>
      <c r="B140" s="251"/>
      <c r="C140" s="64" t="s">
        <v>67</v>
      </c>
      <c r="D140" s="65">
        <v>8232</v>
      </c>
      <c r="E140" s="65">
        <v>8951</v>
      </c>
      <c r="F140" s="129">
        <f>97.3116</f>
        <v>97.311599999999999</v>
      </c>
      <c r="G140" s="129">
        <f>7566.19639</f>
        <v>7566.1963900000001</v>
      </c>
      <c r="H140" s="129">
        <f t="shared" ref="H140:H147" si="13">E140-G140</f>
        <v>1384.8036099999999</v>
      </c>
      <c r="I140" s="129">
        <f>6540.58416</f>
        <v>6540.5841600000003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2.3568</f>
        <v>2.3567999999999998</v>
      </c>
      <c r="G141" s="129">
        <f>274.36106</f>
        <v>274.36106000000001</v>
      </c>
      <c r="H141" s="129">
        <f t="shared" si="13"/>
        <v>225.63893999999999</v>
      </c>
      <c r="I141" s="129">
        <f>301.09645</f>
        <v>301.09645</v>
      </c>
      <c r="J141" s="137"/>
    </row>
    <row r="142" spans="1:10" ht="15.75" customHeight="1" x14ac:dyDescent="0.25">
      <c r="A142" s="1"/>
      <c r="B142" s="251"/>
      <c r="C142" s="38" t="s">
        <v>11</v>
      </c>
      <c r="D142" s="63">
        <v>11114</v>
      </c>
      <c r="E142" s="63">
        <v>12028</v>
      </c>
      <c r="F142" s="77">
        <f>207.74355</f>
        <v>207.74355</v>
      </c>
      <c r="G142" s="77">
        <f>7978.13975</f>
        <v>7978.1397500000003</v>
      </c>
      <c r="H142" s="77">
        <f t="shared" si="13"/>
        <v>4049.8602499999997</v>
      </c>
      <c r="I142" s="77">
        <f>8044.44306</f>
        <v>8044.4430599999996</v>
      </c>
      <c r="J142" s="122"/>
    </row>
    <row r="143" spans="1:10" ht="15.75" customHeight="1" x14ac:dyDescent="0.25">
      <c r="A143" s="1"/>
      <c r="B143" s="251"/>
      <c r="C143" s="144" t="s">
        <v>34</v>
      </c>
      <c r="D143" s="145">
        <v>137</v>
      </c>
      <c r="E143" s="145">
        <v>137</v>
      </c>
      <c r="F143" s="141">
        <f>0.51705</f>
        <v>0.51705000000000001</v>
      </c>
      <c r="G143" s="141">
        <f>34.50838</f>
        <v>34.508380000000002</v>
      </c>
      <c r="H143" s="141">
        <f t="shared" si="13"/>
        <v>102.49162</v>
      </c>
      <c r="I143" s="141">
        <f>28.11097</f>
        <v>28.110969999999998</v>
      </c>
      <c r="J143" s="122"/>
    </row>
    <row r="144" spans="1:10" ht="15.75" customHeight="1" x14ac:dyDescent="0.25">
      <c r="A144" s="1"/>
      <c r="B144" s="251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3"/>
        <v>-12.581000000000017</v>
      </c>
      <c r="I144" s="100">
        <f>307.078</f>
        <v>307.07799999999997</v>
      </c>
      <c r="J144" s="122"/>
    </row>
    <row r="145" spans="1:10" ht="18" customHeight="1" x14ac:dyDescent="0.25">
      <c r="A145" s="1"/>
      <c r="B145" s="251"/>
      <c r="C145" s="142" t="s">
        <v>70</v>
      </c>
      <c r="D145" s="145">
        <v>2000</v>
      </c>
      <c r="E145" s="145">
        <v>2000</v>
      </c>
      <c r="F145" s="141">
        <f>5.6381</f>
        <v>5.6380999999999997</v>
      </c>
      <c r="G145" s="141">
        <v>2000</v>
      </c>
      <c r="H145" s="141">
        <f t="shared" si="13"/>
        <v>0</v>
      </c>
      <c r="I145" s="141">
        <v>2000</v>
      </c>
      <c r="J145" s="241"/>
    </row>
    <row r="146" spans="1:10" ht="15.75" customHeight="1" x14ac:dyDescent="0.25">
      <c r="A146" s="1"/>
      <c r="B146" s="251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3"/>
        <v>0</v>
      </c>
      <c r="I146" s="141"/>
      <c r="J146" s="122"/>
    </row>
    <row r="147" spans="1:10" ht="15.75" customHeight="1" x14ac:dyDescent="0.25">
      <c r="A147" s="1"/>
      <c r="B147" s="251"/>
      <c r="C147" s="144" t="s">
        <v>71</v>
      </c>
      <c r="D147" s="145">
        <v>195</v>
      </c>
      <c r="E147" s="145">
        <v>195</v>
      </c>
      <c r="F147" s="100">
        <f>0.18155</f>
        <v>0.18154999999999999</v>
      </c>
      <c r="G147" s="100">
        <f>28.66701</f>
        <v>28.667010000000001</v>
      </c>
      <c r="H147" s="141">
        <f t="shared" si="13"/>
        <v>166.33299</v>
      </c>
      <c r="I147" s="100">
        <f>7.07305</f>
        <v>7.0730500000000003</v>
      </c>
      <c r="J147" s="122"/>
    </row>
    <row r="148" spans="1:10" ht="15" customHeight="1" x14ac:dyDescent="0.25">
      <c r="A148" s="1"/>
      <c r="B148" s="251"/>
      <c r="C148" s="144" t="s">
        <v>40</v>
      </c>
      <c r="D148" s="148"/>
      <c r="E148" s="145"/>
      <c r="F148" s="141">
        <f>108.6</f>
        <v>108.6</v>
      </c>
      <c r="G148" s="141">
        <f>463.34063</f>
        <v>463.34062999999998</v>
      </c>
      <c r="H148" s="141"/>
      <c r="I148" s="141">
        <f>271.8658</f>
        <v>271.86579999999998</v>
      </c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4">D128+D132+D133+D143+D144+D145+D146+D147+D148</f>
        <v>212994</v>
      </c>
      <c r="E150" s="78">
        <f t="shared" si="14"/>
        <v>203686</v>
      </c>
      <c r="F150" s="78">
        <f>F128+F132+F133+F143+F144+F145+F146+F147+F148</f>
        <v>2889.1454699999999</v>
      </c>
      <c r="G150" s="78">
        <f>G128+G132+G133+G143+G144+G145+G146+G147+G148</f>
        <v>183941.28858000002</v>
      </c>
      <c r="H150" s="78">
        <f>H128+H132+H133+H143+H144+H145+H146+H147+H148</f>
        <v>20208.052050000002</v>
      </c>
      <c r="I150" s="78">
        <f>I128+I132+I133+I143+I144+I145+I146+I147+I148</f>
        <v>173222.04437000005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129</v>
      </c>
      <c r="D152" s="121"/>
      <c r="E152" s="121"/>
      <c r="F152" s="121"/>
      <c r="G152" s="121"/>
      <c r="H152" s="165"/>
      <c r="I152" s="159"/>
      <c r="J152" s="277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7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7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7"/>
    </row>
    <row r="156" spans="1:10" ht="15.75" customHeight="1" x14ac:dyDescent="0.25">
      <c r="A156" s="159"/>
      <c r="B156" s="54"/>
      <c r="C156" s="80" t="s">
        <v>130</v>
      </c>
      <c r="D156" s="121"/>
      <c r="E156" s="121"/>
      <c r="F156" s="121"/>
      <c r="G156" s="121"/>
      <c r="H156" s="165"/>
      <c r="I156" s="165"/>
      <c r="J156" s="277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ht="96.75" customHeight="1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119</v>
      </c>
      <c r="B162" s="2"/>
      <c r="C162" s="216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6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119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119</v>
      </c>
      <c r="B165" s="251"/>
      <c r="C165" s="151" t="s">
        <v>1</v>
      </c>
      <c r="D165" s="187"/>
      <c r="E165" s="278"/>
      <c r="F165" s="278"/>
      <c r="G165" s="278"/>
      <c r="H165" s="1"/>
      <c r="I165" s="1"/>
      <c r="J165" s="122"/>
    </row>
    <row r="166" spans="1:10" ht="14.1" customHeight="1" x14ac:dyDescent="0.25">
      <c r="A166" s="1"/>
      <c r="B166" s="251"/>
      <c r="C166" s="180" t="s">
        <v>6</v>
      </c>
      <c r="D166" s="192">
        <v>12735</v>
      </c>
      <c r="E166" s="278"/>
      <c r="F166" s="278"/>
      <c r="G166" s="278"/>
      <c r="H166" s="1"/>
      <c r="I166" s="1"/>
      <c r="J166" s="122"/>
    </row>
    <row r="167" spans="1:10" ht="14.1" customHeight="1" x14ac:dyDescent="0.25">
      <c r="A167" s="1"/>
      <c r="B167" s="251"/>
      <c r="C167" s="180" t="s">
        <v>9</v>
      </c>
      <c r="D167" s="192">
        <v>11325</v>
      </c>
      <c r="E167" s="278"/>
      <c r="F167" s="278"/>
      <c r="G167" s="232"/>
      <c r="H167" s="1"/>
      <c r="I167" s="1"/>
      <c r="J167" s="122"/>
    </row>
    <row r="168" spans="1:10" ht="14.1" customHeight="1" x14ac:dyDescent="0.25">
      <c r="A168" s="1"/>
      <c r="B168" s="251"/>
      <c r="C168" s="180" t="s">
        <v>75</v>
      </c>
      <c r="D168" s="192">
        <v>940</v>
      </c>
      <c r="E168" s="278"/>
      <c r="F168" s="278"/>
      <c r="G168" s="278"/>
      <c r="H168" s="1"/>
      <c r="I168" s="1"/>
      <c r="J168" s="122"/>
    </row>
    <row r="169" spans="1:10" ht="14.1" customHeight="1" x14ac:dyDescent="0.25">
      <c r="A169" s="1"/>
      <c r="B169" s="251"/>
      <c r="C169" s="180" t="s">
        <v>50</v>
      </c>
      <c r="D169" s="192">
        <v>25000</v>
      </c>
      <c r="E169" s="278"/>
      <c r="F169" s="278"/>
      <c r="G169" s="278"/>
      <c r="H169" s="1"/>
      <c r="I169" s="1"/>
      <c r="J169" s="122"/>
    </row>
    <row r="170" spans="1:10" ht="14.1" customHeight="1" x14ac:dyDescent="0.25">
      <c r="A170" s="1"/>
      <c r="B170" s="251"/>
      <c r="C170" s="1"/>
      <c r="D170" s="49"/>
      <c r="E170" s="278"/>
      <c r="F170" s="278"/>
      <c r="G170" s="278"/>
      <c r="H170" s="1"/>
      <c r="I170" s="1"/>
      <c r="J170" s="122"/>
    </row>
    <row r="171" spans="1:10" ht="3.75" customHeight="1" x14ac:dyDescent="0.25">
      <c r="A171" s="1"/>
      <c r="B171" s="238"/>
      <c r="C171" s="161"/>
      <c r="D171" s="161"/>
      <c r="E171" s="264"/>
      <c r="F171" s="264"/>
      <c r="G171" s="264"/>
      <c r="H171" s="230"/>
      <c r="I171" s="230"/>
      <c r="J171" s="242"/>
    </row>
    <row r="172" spans="1:10" ht="24.75" customHeight="1" x14ac:dyDescent="0.25">
      <c r="A172" s="1"/>
      <c r="B172" s="251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1"/>
      <c r="D173" s="221"/>
      <c r="E173" s="221"/>
      <c r="F173" s="221"/>
      <c r="G173" s="221"/>
      <c r="H173" s="221"/>
      <c r="I173" s="221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7"/>
    </row>
    <row r="175" spans="1:10" ht="14.1" customHeight="1" x14ac:dyDescent="0.25">
      <c r="A175" s="1"/>
      <c r="B175" s="251"/>
      <c r="C175" s="143" t="s">
        <v>76</v>
      </c>
      <c r="D175" s="96">
        <v>4988</v>
      </c>
      <c r="E175" s="273">
        <f>39.25944</f>
        <v>39.259439999999998</v>
      </c>
      <c r="F175" s="273">
        <f>2080.61577</f>
        <v>2080.6157699999999</v>
      </c>
      <c r="G175" s="45">
        <f>D175-F175-F176</f>
        <v>764.83339999999998</v>
      </c>
      <c r="H175" s="273">
        <f>1717.72885</f>
        <v>1717.72885</v>
      </c>
      <c r="I175" s="1"/>
      <c r="J175" s="122"/>
    </row>
    <row r="176" spans="1:10" ht="14.1" customHeight="1" x14ac:dyDescent="0.25">
      <c r="A176" s="1"/>
      <c r="B176" s="251"/>
      <c r="C176" s="139" t="s">
        <v>54</v>
      </c>
      <c r="D176" s="183"/>
      <c r="E176" s="154">
        <f>8.41836</f>
        <v>8.4183599999999998</v>
      </c>
      <c r="F176" s="154">
        <f>2142.55083</f>
        <v>2142.5508300000001</v>
      </c>
      <c r="G176" s="214"/>
      <c r="H176" s="154">
        <f>1742.80361</f>
        <v>1742.8036099999999</v>
      </c>
      <c r="I176" s="1"/>
      <c r="J176" s="122"/>
    </row>
    <row r="177" spans="1:10" ht="15.6" customHeight="1" x14ac:dyDescent="0.25">
      <c r="A177" s="1"/>
      <c r="B177" s="251"/>
      <c r="C177" s="171" t="s">
        <v>77</v>
      </c>
      <c r="D177" s="100">
        <v>200</v>
      </c>
      <c r="E177" s="174">
        <f>0</f>
        <v>0</v>
      </c>
      <c r="F177" s="174">
        <f>74.78746</f>
        <v>74.787459999999996</v>
      </c>
      <c r="G177" s="174">
        <f>D177-F177</f>
        <v>125.21254</v>
      </c>
      <c r="H177" s="174">
        <f>51.03896</f>
        <v>51.038960000000003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16.641940000000002</v>
      </c>
      <c r="F178" s="183">
        <f>F179+F180+F181</f>
        <v>8161.9506600000004</v>
      </c>
      <c r="G178" s="183">
        <f>D178-F178</f>
        <v>-680.95066000000043</v>
      </c>
      <c r="H178" s="183">
        <f>H179+H180+H181</f>
        <v>7849.79403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5.09597</f>
        <v>5.0959700000000003</v>
      </c>
      <c r="F179" s="129">
        <f>4189.88666</f>
        <v>4189.8866600000001</v>
      </c>
      <c r="G179" s="129"/>
      <c r="H179" s="129">
        <f>3989.25858</f>
        <v>3989.2585800000002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6.09147</f>
        <v>6.0914700000000002</v>
      </c>
      <c r="F180" s="129">
        <f>2521.91029</f>
        <v>2521.9102899999998</v>
      </c>
      <c r="G180" s="129"/>
      <c r="H180" s="129">
        <f>2474.24904</f>
        <v>2474.2490400000002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5.4545</f>
        <v>5.4545000000000003</v>
      </c>
      <c r="F181" s="194">
        <f>1450.15371</f>
        <v>1450.15371</v>
      </c>
      <c r="G181" s="194"/>
      <c r="H181" s="194">
        <f>1386.28641</f>
        <v>1386.2864099999999</v>
      </c>
      <c r="I181" s="188"/>
      <c r="J181" s="189"/>
    </row>
    <row r="182" spans="1:10" ht="14.1" customHeight="1" x14ac:dyDescent="0.25">
      <c r="A182" s="1"/>
      <c r="B182" s="251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1"/>
    </row>
    <row r="183" spans="1:10" ht="16.5" customHeight="1" x14ac:dyDescent="0.25">
      <c r="A183" s="1"/>
      <c r="B183" s="251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1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64.319739999999996</v>
      </c>
      <c r="F184" s="196">
        <f>F175+F176+F177+F178+F182+F183</f>
        <v>12459.90472</v>
      </c>
      <c r="G184" s="196">
        <f>D184-F184</f>
        <v>275.09527999999955</v>
      </c>
      <c r="H184" s="196">
        <f>H175+H176+H177+H178+H182+H183</f>
        <v>11361.365449999999</v>
      </c>
      <c r="I184" s="165"/>
      <c r="J184" s="162"/>
    </row>
    <row r="185" spans="1:10" ht="42" customHeight="1" x14ac:dyDescent="0.25">
      <c r="A185" s="1"/>
      <c r="B185" s="200"/>
      <c r="C185" s="224" t="s">
        <v>131</v>
      </c>
      <c r="D185" s="224"/>
      <c r="E185" s="224"/>
      <c r="F185" s="224"/>
      <c r="G185" s="224"/>
      <c r="H185" s="221"/>
      <c r="I185" s="221"/>
      <c r="J185" s="13"/>
    </row>
    <row r="186" spans="1:10" ht="12" customHeight="1" x14ac:dyDescent="0.25">
      <c r="A186" s="159" t="s">
        <v>119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119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2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119</v>
      </c>
      <c r="B190" s="1"/>
      <c r="C190" s="212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3"/>
      <c r="D191" s="234"/>
      <c r="E191" s="234"/>
      <c r="F191" s="234"/>
      <c r="G191" s="234"/>
      <c r="H191" s="156"/>
      <c r="I191" s="156"/>
      <c r="J191" s="164"/>
    </row>
    <row r="192" spans="1:10" ht="15" customHeight="1" x14ac:dyDescent="0.25">
      <c r="A192" s="152"/>
      <c r="B192" s="251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1"/>
      <c r="C193" s="256" t="s">
        <v>85</v>
      </c>
      <c r="D193" s="267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1"/>
      <c r="C194" s="245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1"/>
      <c r="C195" s="245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1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1"/>
      <c r="C197" s="101" t="s">
        <v>132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1"/>
      <c r="C198" s="101" t="s">
        <v>133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1"/>
      <c r="C199" s="101" t="s">
        <v>134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8"/>
      <c r="C200" s="264"/>
      <c r="D200" s="161"/>
      <c r="E200" s="161"/>
      <c r="F200" s="264"/>
      <c r="G200" s="264"/>
      <c r="H200" s="264"/>
      <c r="I200" s="230"/>
      <c r="J200" s="242"/>
    </row>
    <row r="201" spans="1:10" ht="23.25" customHeight="1" x14ac:dyDescent="0.25">
      <c r="A201" s="1"/>
      <c r="B201" s="251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1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1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1"/>
      <c r="C204" s="90" t="s">
        <v>4</v>
      </c>
      <c r="D204" s="124">
        <v>43839</v>
      </c>
      <c r="E204" s="124">
        <f>139.86082</f>
        <v>139.86081999999999</v>
      </c>
      <c r="F204" s="124">
        <f>42547.12514</f>
        <v>42547.125139999996</v>
      </c>
      <c r="G204" s="124">
        <f>D204-F204</f>
        <v>1291.8748600000035</v>
      </c>
      <c r="H204" s="124">
        <f>37725.09832</f>
        <v>37725.098319999997</v>
      </c>
      <c r="I204" s="245"/>
      <c r="J204" s="122"/>
    </row>
    <row r="205" spans="1:10" ht="15" customHeight="1" x14ac:dyDescent="0.25">
      <c r="A205" s="1"/>
      <c r="B205" s="251"/>
      <c r="C205" s="90" t="s">
        <v>68</v>
      </c>
      <c r="D205" s="124">
        <v>100</v>
      </c>
      <c r="E205" s="124">
        <f>1.0425</f>
        <v>1.0425</v>
      </c>
      <c r="F205" s="124">
        <f>67.62593</f>
        <v>67.625929999999997</v>
      </c>
      <c r="G205" s="124">
        <f>D205-F205</f>
        <v>32.374070000000003</v>
      </c>
      <c r="H205" s="124">
        <f>61.2405</f>
        <v>61.240499999999997</v>
      </c>
      <c r="I205" s="245"/>
      <c r="J205" s="122"/>
    </row>
    <row r="206" spans="1:10" ht="15.75" customHeight="1" x14ac:dyDescent="0.25">
      <c r="A206" s="1"/>
      <c r="B206" s="251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5"/>
      <c r="J206" s="122"/>
    </row>
    <row r="207" spans="1:10" ht="16.5" customHeight="1" x14ac:dyDescent="0.25">
      <c r="A207" s="1"/>
      <c r="B207" s="251"/>
      <c r="C207" s="179" t="s">
        <v>88</v>
      </c>
      <c r="D207" s="190">
        <f>SUM(D204:D206)</f>
        <v>43981</v>
      </c>
      <c r="E207" s="190">
        <f>SUM(E204:E206)</f>
        <v>140.90331999999998</v>
      </c>
      <c r="F207" s="190">
        <f>SUM(F204:F206)</f>
        <v>42614.751069999998</v>
      </c>
      <c r="G207" s="190">
        <f>D207-F207</f>
        <v>1366.2489300000016</v>
      </c>
      <c r="H207" s="190">
        <f>SUM(H204:H206)</f>
        <v>37786.338819999997</v>
      </c>
      <c r="I207" s="245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1"/>
      <c r="G208" s="211"/>
      <c r="H208" s="211"/>
      <c r="I208" s="211"/>
      <c r="J208" s="213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119</v>
      </c>
      <c r="B242" s="1"/>
      <c r="C242" s="1"/>
      <c r="D242" s="1"/>
      <c r="E242" s="1"/>
      <c r="F242" s="1"/>
      <c r="G242" s="1"/>
      <c r="H242" s="1"/>
      <c r="I242" s="1"/>
      <c r="J242" s="215"/>
    </row>
    <row r="243" spans="1:10" ht="21.75" customHeight="1" x14ac:dyDescent="0.35">
      <c r="A243" s="152"/>
      <c r="B243" s="1"/>
      <c r="C243" s="212" t="s">
        <v>137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119</v>
      </c>
      <c r="B244" s="1"/>
      <c r="C244" s="212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3"/>
      <c r="D245" s="234"/>
      <c r="E245" s="234"/>
      <c r="F245" s="234"/>
      <c r="G245" s="234"/>
      <c r="H245" s="156"/>
      <c r="I245" s="156"/>
      <c r="J245" s="164"/>
    </row>
    <row r="246" spans="1:10" ht="23.25" customHeight="1" x14ac:dyDescent="0.25">
      <c r="A246" s="1"/>
      <c r="B246" s="251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1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1"/>
      <c r="C248" s="68" t="s">
        <v>16</v>
      </c>
      <c r="D248" s="79" t="s">
        <v>2</v>
      </c>
      <c r="E248" s="68" t="s">
        <v>140</v>
      </c>
      <c r="F248" s="68" t="s">
        <v>141</v>
      </c>
      <c r="G248" s="68" t="s">
        <v>142</v>
      </c>
      <c r="H248" s="68" t="s">
        <v>143</v>
      </c>
      <c r="I248" s="1"/>
      <c r="J248" s="122"/>
    </row>
    <row r="249" spans="1:10" ht="15" customHeight="1" x14ac:dyDescent="0.25">
      <c r="A249" s="1"/>
      <c r="B249" s="251"/>
      <c r="C249" s="90" t="s">
        <v>8</v>
      </c>
      <c r="D249" s="124"/>
      <c r="E249" s="77">
        <f>9.182</f>
        <v>9.1820000000000004</v>
      </c>
      <c r="F249" s="77">
        <f>3680.26369</f>
        <v>3680.2636900000002</v>
      </c>
      <c r="G249" s="77"/>
      <c r="H249" s="77">
        <f>2856.32408</f>
        <v>2856.3240799999999</v>
      </c>
      <c r="I249" s="245"/>
      <c r="J249" s="122"/>
    </row>
    <row r="250" spans="1:10" ht="15" customHeight="1" x14ac:dyDescent="0.25">
      <c r="A250" s="1"/>
      <c r="B250" s="251"/>
      <c r="C250" s="90" t="s">
        <v>11</v>
      </c>
      <c r="D250" s="124"/>
      <c r="E250" s="77">
        <f>126.00172</f>
        <v>126.00172000000001</v>
      </c>
      <c r="F250" s="77">
        <f>5504.86278</f>
        <v>5504.8627800000004</v>
      </c>
      <c r="G250" s="77"/>
      <c r="H250" s="77">
        <f>5001.44621</f>
        <v>5001.4462100000001</v>
      </c>
      <c r="I250" s="245"/>
      <c r="J250" s="122"/>
    </row>
    <row r="251" spans="1:10" ht="15.75" customHeight="1" x14ac:dyDescent="0.25">
      <c r="A251" s="1"/>
      <c r="B251" s="251"/>
      <c r="C251" s="146" t="s">
        <v>68</v>
      </c>
      <c r="D251" s="168"/>
      <c r="E251" s="124">
        <f>5.87752</f>
        <v>5.8775199999999996</v>
      </c>
      <c r="F251" s="124">
        <f>685.62029</f>
        <v>685.62028999999995</v>
      </c>
      <c r="G251" s="168"/>
      <c r="H251" s="124">
        <f>657.34515</f>
        <v>657.34514999999999</v>
      </c>
      <c r="I251" s="245"/>
      <c r="J251" s="122"/>
    </row>
    <row r="252" spans="1:10" ht="16.5" customHeight="1" x14ac:dyDescent="0.25">
      <c r="A252" s="1"/>
      <c r="B252" s="251"/>
      <c r="C252" s="179" t="s">
        <v>88</v>
      </c>
      <c r="D252" s="190">
        <v>10454</v>
      </c>
      <c r="E252" s="190">
        <f>SUM(E249:E251)</f>
        <v>141.06124</v>
      </c>
      <c r="F252" s="190">
        <f>SUM(F249:F251)</f>
        <v>9870.7467600000018</v>
      </c>
      <c r="G252" s="190">
        <f>D252-F252</f>
        <v>583.25323999999819</v>
      </c>
      <c r="H252" s="190">
        <f>SUM(H249:H251)</f>
        <v>8515.1154399999996</v>
      </c>
      <c r="I252" s="245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1"/>
      <c r="G253" s="211"/>
      <c r="H253" s="211"/>
      <c r="I253" s="211"/>
      <c r="J253" s="213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119</v>
      </c>
      <c r="B287" s="1"/>
      <c r="C287" s="1"/>
      <c r="D287" s="1"/>
      <c r="E287" s="1"/>
      <c r="F287" s="1"/>
      <c r="G287" s="1"/>
      <c r="H287" s="1"/>
      <c r="I287" s="1"/>
      <c r="J287" s="215"/>
    </row>
    <row r="288" spans="1:10" ht="21.75" customHeight="1" x14ac:dyDescent="0.35">
      <c r="A288" s="152"/>
      <c r="B288" s="1"/>
      <c r="C288" s="212" t="s">
        <v>138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119</v>
      </c>
      <c r="B289" s="1"/>
      <c r="C289" s="212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3"/>
      <c r="D290" s="234"/>
      <c r="E290" s="234"/>
      <c r="F290" s="234"/>
      <c r="G290" s="234"/>
      <c r="H290" s="156"/>
      <c r="I290" s="156"/>
      <c r="J290" s="164"/>
    </row>
    <row r="291" spans="1:10" ht="23.25" customHeight="1" x14ac:dyDescent="0.25">
      <c r="A291" s="1"/>
      <c r="B291" s="251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1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1"/>
      <c r="C293" s="68" t="s">
        <v>16</v>
      </c>
      <c r="D293" s="79" t="s">
        <v>2</v>
      </c>
      <c r="E293" s="68" t="s">
        <v>140</v>
      </c>
      <c r="F293" s="68" t="s">
        <v>141</v>
      </c>
      <c r="G293" s="68" t="s">
        <v>142</v>
      </c>
      <c r="H293" s="68" t="s">
        <v>143</v>
      </c>
      <c r="I293" s="1"/>
      <c r="J293" s="122"/>
    </row>
    <row r="294" spans="1:10" ht="15" customHeight="1" x14ac:dyDescent="0.25">
      <c r="A294" s="1"/>
      <c r="B294" s="251"/>
      <c r="C294" s="90" t="s">
        <v>8</v>
      </c>
      <c r="D294" s="124"/>
      <c r="E294" s="77">
        <f>18.83116</f>
        <v>18.831160000000001</v>
      </c>
      <c r="F294" s="77">
        <f>5594.94804</f>
        <v>5594.9480400000002</v>
      </c>
      <c r="G294" s="77"/>
      <c r="H294" s="77">
        <f>4161.33031</f>
        <v>4161.3303100000003</v>
      </c>
      <c r="I294" s="245"/>
      <c r="J294" s="122"/>
    </row>
    <row r="295" spans="1:10" ht="15" customHeight="1" x14ac:dyDescent="0.25">
      <c r="A295" s="1"/>
      <c r="B295" s="251"/>
      <c r="C295" s="90" t="s">
        <v>11</v>
      </c>
      <c r="D295" s="124"/>
      <c r="E295" s="77">
        <f>176.78354</f>
        <v>176.78353999999999</v>
      </c>
      <c r="F295" s="77">
        <f>3901.6047</f>
        <v>3901.6046999999999</v>
      </c>
      <c r="G295" s="77"/>
      <c r="H295" s="77">
        <f>3610.72162</f>
        <v>3610.7216199999998</v>
      </c>
      <c r="I295" s="245"/>
      <c r="J295" s="122"/>
    </row>
    <row r="296" spans="1:10" ht="15.75" customHeight="1" x14ac:dyDescent="0.25">
      <c r="A296" s="1"/>
      <c r="B296" s="251"/>
      <c r="C296" s="146" t="s">
        <v>68</v>
      </c>
      <c r="D296" s="168"/>
      <c r="E296" s="124">
        <f>1.45847</f>
        <v>1.4584699999999999</v>
      </c>
      <c r="F296" s="124">
        <f>518.95685</f>
        <v>518.95685000000003</v>
      </c>
      <c r="G296" s="168"/>
      <c r="H296" s="124">
        <f>585.86187</f>
        <v>585.86186999999995</v>
      </c>
      <c r="I296" s="245"/>
      <c r="J296" s="122"/>
    </row>
    <row r="297" spans="1:10" ht="16.5" customHeight="1" x14ac:dyDescent="0.25">
      <c r="A297" s="1"/>
      <c r="B297" s="251"/>
      <c r="C297" s="179" t="s">
        <v>88</v>
      </c>
      <c r="D297" s="190">
        <v>8076</v>
      </c>
      <c r="E297" s="190">
        <f>SUM(E294:E296)</f>
        <v>197.07317</v>
      </c>
      <c r="F297" s="190">
        <f>SUM(F294:F296)</f>
        <v>10015.50959</v>
      </c>
      <c r="G297" s="190">
        <f>D297-F297</f>
        <v>-1939.5095899999997</v>
      </c>
      <c r="H297" s="190">
        <f>SUM(H294:H296)</f>
        <v>8357.9138000000003</v>
      </c>
      <c r="I297" s="245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1"/>
      <c r="G298" s="211"/>
      <c r="H298" s="211"/>
      <c r="I298" s="211"/>
      <c r="J298" s="213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60" customHeight="1" x14ac:dyDescent="0.25">
      <c r="A332" s="1" t="s">
        <v>119</v>
      </c>
      <c r="B332" s="1"/>
      <c r="C332" s="1"/>
      <c r="D332" s="1"/>
      <c r="E332" s="1"/>
      <c r="F332" s="1"/>
      <c r="G332" s="1"/>
      <c r="H332" s="1"/>
      <c r="I332" s="1"/>
      <c r="J332" s="215"/>
    </row>
    <row r="333" spans="1:10" ht="30" customHeight="1" x14ac:dyDescent="0.25">
      <c r="A333" s="215"/>
      <c r="B333" s="215"/>
      <c r="C333" s="216" t="s">
        <v>90</v>
      </c>
      <c r="D333" s="215"/>
      <c r="E333" s="215"/>
      <c r="F333" s="215"/>
      <c r="G333" s="215"/>
      <c r="H333" s="215"/>
      <c r="I333" s="215"/>
      <c r="J333" s="221"/>
    </row>
    <row r="334" spans="1:10" ht="30" customHeight="1" x14ac:dyDescent="0.25">
      <c r="A334" s="215" t="s">
        <v>119</v>
      </c>
      <c r="B334" s="215"/>
      <c r="C334" s="216"/>
      <c r="D334" s="215"/>
      <c r="E334" s="215"/>
      <c r="F334" s="215"/>
      <c r="G334" s="215"/>
      <c r="H334" s="215"/>
      <c r="I334" s="215"/>
      <c r="J334" s="221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1"/>
      <c r="C337" s="256" t="s">
        <v>85</v>
      </c>
      <c r="D337" s="267">
        <v>3299</v>
      </c>
      <c r="E337" s="152"/>
      <c r="F337" s="222"/>
      <c r="G337" s="1"/>
      <c r="H337" s="1"/>
      <c r="I337" s="1"/>
      <c r="J337" s="122"/>
    </row>
    <row r="338" spans="1:10" ht="14.1" customHeight="1" x14ac:dyDescent="0.25">
      <c r="A338" s="1"/>
      <c r="B338" s="251"/>
      <c r="C338" s="245" t="s">
        <v>91</v>
      </c>
      <c r="D338" s="46">
        <v>9882</v>
      </c>
      <c r="E338" s="152"/>
      <c r="F338" s="222"/>
      <c r="G338" s="1"/>
      <c r="H338" s="1"/>
      <c r="I338" s="1"/>
      <c r="J338" s="122"/>
    </row>
    <row r="339" spans="1:10" ht="14.1" customHeight="1" x14ac:dyDescent="0.25">
      <c r="A339" s="1"/>
      <c r="B339" s="251"/>
      <c r="C339" s="245" t="s">
        <v>92</v>
      </c>
      <c r="D339" s="46">
        <v>8089</v>
      </c>
      <c r="E339" s="152"/>
      <c r="F339" s="222"/>
      <c r="G339" s="1"/>
      <c r="H339" s="1"/>
      <c r="I339" s="1"/>
      <c r="J339" s="122"/>
    </row>
    <row r="340" spans="1:10" ht="13.5" customHeight="1" x14ac:dyDescent="0.25">
      <c r="A340" s="1"/>
      <c r="B340" s="251"/>
      <c r="C340" s="245" t="s">
        <v>75</v>
      </c>
      <c r="D340" s="46">
        <v>382</v>
      </c>
      <c r="E340" s="152"/>
      <c r="F340" s="222"/>
      <c r="G340" s="1"/>
      <c r="H340" s="1"/>
      <c r="I340" s="1"/>
      <c r="J340" s="122"/>
    </row>
    <row r="341" spans="1:10" ht="14.25" customHeight="1" x14ac:dyDescent="0.25">
      <c r="A341" s="1"/>
      <c r="B341" s="251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1"/>
      <c r="C342" s="225" t="s">
        <v>93</v>
      </c>
      <c r="D342" s="226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1"/>
      <c r="C343" s="101" t="s">
        <v>94</v>
      </c>
      <c r="D343" s="227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1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8"/>
      <c r="C345" s="231" t="s">
        <v>15</v>
      </c>
      <c r="D345" s="231"/>
      <c r="E345" s="231"/>
      <c r="F345" s="231"/>
      <c r="G345" s="231"/>
      <c r="H345" s="231"/>
      <c r="I345" s="231"/>
      <c r="J345" s="235"/>
    </row>
    <row r="346" spans="1:10" ht="14.1" customHeight="1" x14ac:dyDescent="0.25">
      <c r="A346" s="1"/>
      <c r="B346" s="237"/>
      <c r="C346" s="239"/>
      <c r="D346" s="239"/>
      <c r="E346" s="239"/>
      <c r="F346" s="239"/>
      <c r="G346" s="239"/>
      <c r="H346" s="239"/>
      <c r="I346" s="239"/>
      <c r="J346" s="122"/>
    </row>
    <row r="347" spans="1:10" ht="54" customHeight="1" x14ac:dyDescent="0.25">
      <c r="A347" s="1"/>
      <c r="B347" s="251"/>
      <c r="C347" s="68" t="s">
        <v>16</v>
      </c>
      <c r="D347" s="240" t="s">
        <v>2</v>
      </c>
      <c r="E347" s="68" t="s">
        <v>140</v>
      </c>
      <c r="F347" s="68" t="s">
        <v>141</v>
      </c>
      <c r="G347" s="68" t="s">
        <v>142</v>
      </c>
      <c r="H347" s="68" t="s">
        <v>143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2.43541</f>
        <v>2.4354100000000001</v>
      </c>
      <c r="F348" s="124">
        <f>577.9115</f>
        <v>577.91150000000005</v>
      </c>
      <c r="G348" s="124">
        <f>D348-F348</f>
        <v>222.08849999999995</v>
      </c>
      <c r="H348" s="124">
        <f>384.93324</f>
        <v>384.93324000000001</v>
      </c>
      <c r="I348" s="70"/>
      <c r="J348" s="241"/>
    </row>
    <row r="349" spans="1:10" ht="14.1" customHeight="1" x14ac:dyDescent="0.25">
      <c r="A349" s="1"/>
      <c r="B349" s="251"/>
      <c r="C349" s="90" t="s">
        <v>97</v>
      </c>
      <c r="D349" s="243">
        <v>2494</v>
      </c>
      <c r="E349" s="124">
        <f>34.0724</f>
        <v>34.072400000000002</v>
      </c>
      <c r="F349" s="124">
        <f>2778.88305</f>
        <v>2778.8830499999999</v>
      </c>
      <c r="G349" s="124">
        <f>D349-F349</f>
        <v>-284.88304999999991</v>
      </c>
      <c r="H349" s="124">
        <f>1746.03223</f>
        <v>1746.03223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3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3.1032</f>
        <v>3.1032000000000002</v>
      </c>
      <c r="I350" s="70"/>
      <c r="J350" s="246"/>
    </row>
    <row r="351" spans="1:10" ht="18.75" customHeight="1" x14ac:dyDescent="0.25">
      <c r="A351" s="70"/>
      <c r="B351" s="247"/>
      <c r="C351" s="146" t="s">
        <v>98</v>
      </c>
      <c r="D351" s="219"/>
      <c r="E351" s="168">
        <f>0</f>
        <v>0</v>
      </c>
      <c r="F351" s="168">
        <f>1.78973</f>
        <v>1.78973</v>
      </c>
      <c r="G351" s="124"/>
      <c r="H351" s="168">
        <f>6.96964</f>
        <v>6.9696400000000001</v>
      </c>
      <c r="I351" s="281"/>
      <c r="J351" s="122"/>
    </row>
    <row r="352" spans="1:10" ht="14.1" customHeight="1" x14ac:dyDescent="0.25">
      <c r="A352" s="1"/>
      <c r="B352" s="251"/>
      <c r="C352" s="179" t="s">
        <v>88</v>
      </c>
      <c r="D352" s="6">
        <f>D337</f>
        <v>3299</v>
      </c>
      <c r="E352" s="190">
        <f>SUM(E348:E351)</f>
        <v>36.507809999999999</v>
      </c>
      <c r="F352" s="190">
        <f>SUM(F348:F351)</f>
        <v>3361.3230199999998</v>
      </c>
      <c r="G352" s="190">
        <f>D352-F352</f>
        <v>-62.323019999999815</v>
      </c>
      <c r="H352" s="190">
        <f>H348+H349+H350+H351</f>
        <v>2141.0383099999999</v>
      </c>
      <c r="I352" s="1"/>
      <c r="J352" s="122"/>
    </row>
    <row r="353" spans="1:10" ht="14.1" customHeight="1" x14ac:dyDescent="0.25">
      <c r="A353" s="1"/>
      <c r="B353" s="251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119</v>
      </c>
    </row>
    <row r="356" spans="1:10" ht="14.1" customHeight="1" x14ac:dyDescent="0.25">
      <c r="A356" s="1" t="s">
        <v>119</v>
      </c>
    </row>
    <row r="357" spans="1:10" ht="14.1" customHeight="1" x14ac:dyDescent="0.25">
      <c r="A357" s="1" t="s">
        <v>119</v>
      </c>
    </row>
    <row r="358" spans="1:10" ht="14.1" customHeight="1" x14ac:dyDescent="0.25">
      <c r="A358" s="1"/>
      <c r="C358" s="152" t="s">
        <v>119</v>
      </c>
    </row>
    <row r="359" spans="1:10" ht="36" customHeight="1" x14ac:dyDescent="0.25">
      <c r="A359" s="1"/>
      <c r="C359" s="152" t="s">
        <v>119</v>
      </c>
    </row>
    <row r="360" spans="1:10" ht="14.1" customHeight="1" x14ac:dyDescent="0.25">
      <c r="A360" s="1"/>
      <c r="C360" s="152" t="s">
        <v>119</v>
      </c>
    </row>
    <row r="361" spans="1:10" ht="14.1" customHeight="1" x14ac:dyDescent="0.25">
      <c r="A361" s="1"/>
      <c r="C361" s="152" t="s">
        <v>119</v>
      </c>
    </row>
    <row r="362" spans="1:10" ht="30" customHeight="1" x14ac:dyDescent="0.35">
      <c r="A362" s="215"/>
      <c r="B362" s="1"/>
      <c r="C362" s="212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6"/>
      <c r="D363" s="236"/>
      <c r="E363" s="236"/>
      <c r="F363" s="236"/>
      <c r="G363" s="236"/>
      <c r="H363" s="236"/>
      <c r="I363" s="236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6" t="s">
        <v>85</v>
      </c>
      <c r="D366" s="267">
        <v>27365</v>
      </c>
      <c r="E366" s="249" t="s">
        <v>4</v>
      </c>
      <c r="F366" s="105">
        <v>13865</v>
      </c>
      <c r="G366" s="245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5" t="s">
        <v>92</v>
      </c>
      <c r="D367" s="46">
        <v>19433</v>
      </c>
      <c r="E367" s="181" t="s">
        <v>97</v>
      </c>
      <c r="F367" s="49">
        <v>8000</v>
      </c>
      <c r="G367" s="245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5" t="s">
        <v>91</v>
      </c>
      <c r="D368" s="46">
        <v>6186</v>
      </c>
      <c r="E368" s="181" t="s">
        <v>60</v>
      </c>
      <c r="F368" s="49">
        <v>5500</v>
      </c>
      <c r="G368" s="245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5"/>
      <c r="D369" s="46"/>
      <c r="E369" s="133"/>
      <c r="F369" s="147"/>
      <c r="G369" s="245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120</v>
      </c>
      <c r="D371" s="181"/>
      <c r="E371" s="181"/>
      <c r="F371" s="181"/>
      <c r="G371" s="1"/>
      <c r="H371" s="181"/>
      <c r="I371" s="181"/>
      <c r="J371" s="241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8"/>
      <c r="C375" s="231" t="s">
        <v>15</v>
      </c>
      <c r="D375" s="231"/>
      <c r="E375" s="231"/>
      <c r="F375" s="231"/>
      <c r="G375" s="231"/>
      <c r="H375" s="231"/>
      <c r="I375" s="231"/>
      <c r="J375" s="235"/>
    </row>
    <row r="376" spans="1:10" ht="18.75" customHeight="1" x14ac:dyDescent="0.25">
      <c r="B376" s="200"/>
      <c r="C376" s="221"/>
      <c r="D376" s="221"/>
      <c r="E376" s="221"/>
      <c r="F376" s="221"/>
      <c r="G376" s="221"/>
      <c r="H376" s="221"/>
      <c r="I376" s="221"/>
      <c r="J376" s="13"/>
    </row>
    <row r="377" spans="1:10" ht="64.5" customHeight="1" x14ac:dyDescent="0.25">
      <c r="B377" s="74"/>
      <c r="C377" s="220" t="s">
        <v>16</v>
      </c>
      <c r="D377" s="229" t="s">
        <v>17</v>
      </c>
      <c r="E377" s="68" t="s">
        <v>106</v>
      </c>
      <c r="F377" s="220" t="s">
        <v>140</v>
      </c>
      <c r="G377" s="220" t="s">
        <v>141</v>
      </c>
      <c r="H377" s="220" t="s">
        <v>142</v>
      </c>
      <c r="I377" s="220" t="s">
        <v>143</v>
      </c>
      <c r="J377" s="132"/>
    </row>
    <row r="378" spans="1:10" ht="14.1" customHeight="1" x14ac:dyDescent="0.25">
      <c r="A378" s="215"/>
      <c r="B378" s="74"/>
      <c r="C378" s="244" t="s">
        <v>19</v>
      </c>
      <c r="D378" s="248">
        <f t="shared" ref="D378:I378" si="15">D382+D381+D380+D379</f>
        <v>13765</v>
      </c>
      <c r="E378" s="248">
        <f t="shared" si="15"/>
        <v>16102</v>
      </c>
      <c r="F378" s="250">
        <f t="shared" si="15"/>
        <v>32.050600000000003</v>
      </c>
      <c r="G378" s="250">
        <f t="shared" si="15"/>
        <v>16772.251680000001</v>
      </c>
      <c r="H378" s="250">
        <f>H382+H381+H380+H379</f>
        <v>-670.25168000000008</v>
      </c>
      <c r="I378" s="250">
        <f t="shared" si="15"/>
        <v>10333.45557</v>
      </c>
      <c r="J378" s="132"/>
    </row>
    <row r="379" spans="1:10" ht="14.1" customHeight="1" x14ac:dyDescent="0.25">
      <c r="A379" s="215"/>
      <c r="B379" s="74"/>
      <c r="C379" s="252" t="s">
        <v>107</v>
      </c>
      <c r="D379" s="253">
        <v>6472</v>
      </c>
      <c r="E379" s="253">
        <v>8177</v>
      </c>
      <c r="F379" s="254">
        <f>0</f>
        <v>0</v>
      </c>
      <c r="G379" s="254">
        <f>10030.59994</f>
        <v>10030.59994</v>
      </c>
      <c r="H379" s="254">
        <f t="shared" ref="H379:H383" si="16">E379-G379</f>
        <v>-1853.5999400000001</v>
      </c>
      <c r="I379" s="254">
        <f>6822.28765</f>
        <v>6822.2876500000002</v>
      </c>
      <c r="J379" s="132"/>
    </row>
    <row r="380" spans="1:10" ht="14.1" customHeight="1" x14ac:dyDescent="0.25">
      <c r="A380" s="215"/>
      <c r="B380" s="74"/>
      <c r="C380" s="257" t="s">
        <v>21</v>
      </c>
      <c r="D380" s="253">
        <v>1684</v>
      </c>
      <c r="E380" s="253">
        <v>2128</v>
      </c>
      <c r="F380" s="254">
        <f>0</f>
        <v>0</v>
      </c>
      <c r="G380" s="254">
        <f>1599.53535</f>
        <v>1599.5353500000001</v>
      </c>
      <c r="H380" s="254">
        <f t="shared" si="16"/>
        <v>528.46464999999989</v>
      </c>
      <c r="I380" s="254">
        <f>833.07825</f>
        <v>833.07825000000003</v>
      </c>
      <c r="J380" s="132"/>
    </row>
    <row r="381" spans="1:10" ht="14.1" customHeight="1" x14ac:dyDescent="0.25">
      <c r="A381" s="215"/>
      <c r="B381" s="74"/>
      <c r="C381" s="257" t="s">
        <v>103</v>
      </c>
      <c r="D381" s="253">
        <v>1313</v>
      </c>
      <c r="E381" s="253">
        <v>1357</v>
      </c>
      <c r="F381" s="254">
        <f>7.8054</f>
        <v>7.8053999999999997</v>
      </c>
      <c r="G381" s="254">
        <f>1982.60969</f>
        <v>1982.60969</v>
      </c>
      <c r="H381" s="254">
        <f t="shared" si="16"/>
        <v>-625.60969</v>
      </c>
      <c r="I381" s="254">
        <f>1650.34807</f>
        <v>1650.34807</v>
      </c>
      <c r="J381" s="132"/>
    </row>
    <row r="382" spans="1:10" ht="14.1" customHeight="1" x14ac:dyDescent="0.25">
      <c r="A382" s="215"/>
      <c r="B382" s="74"/>
      <c r="C382" s="259" t="s">
        <v>108</v>
      </c>
      <c r="D382" s="260">
        <v>4296</v>
      </c>
      <c r="E382" s="260">
        <v>4440</v>
      </c>
      <c r="F382" s="254">
        <f>24.2452</f>
        <v>24.245200000000001</v>
      </c>
      <c r="G382" s="254">
        <f>3159.5067</f>
        <v>3159.5066999999999</v>
      </c>
      <c r="H382" s="254">
        <f t="shared" si="16"/>
        <v>1280.4933000000001</v>
      </c>
      <c r="I382" s="254">
        <f>1027.7416</f>
        <v>1027.7416000000001</v>
      </c>
      <c r="J382" s="132"/>
    </row>
    <row r="383" spans="1:10" ht="14.1" customHeight="1" x14ac:dyDescent="0.25">
      <c r="A383" s="215"/>
      <c r="B383" s="74"/>
      <c r="C383" s="262" t="s">
        <v>60</v>
      </c>
      <c r="D383" s="263">
        <v>5500</v>
      </c>
      <c r="E383" s="263">
        <v>5500</v>
      </c>
      <c r="F383" s="265">
        <f>0</f>
        <v>0</v>
      </c>
      <c r="G383" s="265">
        <f>5112.13128</f>
        <v>5112.1312799999996</v>
      </c>
      <c r="H383" s="265">
        <f t="shared" si="16"/>
        <v>387.86872000000039</v>
      </c>
      <c r="I383" s="265">
        <f>4572.37976</f>
        <v>4572.3797599999998</v>
      </c>
      <c r="J383" s="132"/>
    </row>
    <row r="384" spans="1:10" ht="14.1" customHeight="1" x14ac:dyDescent="0.25">
      <c r="A384" s="215"/>
      <c r="B384" s="74"/>
      <c r="C384" s="244" t="s">
        <v>22</v>
      </c>
      <c r="D384" s="248">
        <v>8000</v>
      </c>
      <c r="E384" s="248">
        <v>8000</v>
      </c>
      <c r="F384" s="266">
        <f>F386+F385</f>
        <v>85.938159999999996</v>
      </c>
      <c r="G384" s="266">
        <f>G386+G385</f>
        <v>4542.5370400000002</v>
      </c>
      <c r="H384" s="266">
        <f>E384-G384</f>
        <v>3457.4629599999998</v>
      </c>
      <c r="I384" s="266">
        <f>I386+I385</f>
        <v>4709.1307299999999</v>
      </c>
      <c r="J384" s="132"/>
    </row>
    <row r="385" spans="1:10" ht="14.1" customHeight="1" x14ac:dyDescent="0.25">
      <c r="A385" s="215"/>
      <c r="B385" s="74"/>
      <c r="C385" s="257" t="s">
        <v>54</v>
      </c>
      <c r="D385" s="268"/>
      <c r="E385" s="253"/>
      <c r="F385" s="254">
        <f>0</f>
        <v>0</v>
      </c>
      <c r="G385" s="254">
        <f>864.02294</f>
        <v>864.02293999999995</v>
      </c>
      <c r="H385" s="254"/>
      <c r="I385" s="254">
        <f>1158.2507</f>
        <v>1158.2507000000001</v>
      </c>
      <c r="J385" s="132"/>
    </row>
    <row r="386" spans="1:10" ht="14.1" customHeight="1" x14ac:dyDescent="0.25">
      <c r="A386" s="215"/>
      <c r="B386" s="74"/>
      <c r="C386" s="270" t="s">
        <v>109</v>
      </c>
      <c r="D386" s="271"/>
      <c r="E386" s="274"/>
      <c r="F386" s="275">
        <f>85.93816</f>
        <v>85.938159999999996</v>
      </c>
      <c r="G386" s="275">
        <f>3678.5141</f>
        <v>3678.5140999999999</v>
      </c>
      <c r="H386" s="275"/>
      <c r="I386" s="275">
        <f>3550.88003</f>
        <v>3550.8800299999998</v>
      </c>
      <c r="J386" s="132"/>
    </row>
    <row r="387" spans="1:10" ht="14.1" customHeight="1" x14ac:dyDescent="0.25">
      <c r="A387" s="215"/>
      <c r="B387" s="74"/>
      <c r="C387" s="262" t="s">
        <v>34</v>
      </c>
      <c r="D387" s="263">
        <v>10</v>
      </c>
      <c r="E387" s="263">
        <v>10</v>
      </c>
      <c r="F387" s="265">
        <f>0</f>
        <v>0</v>
      </c>
      <c r="G387" s="265">
        <f>0.7485</f>
        <v>0.74850000000000005</v>
      </c>
      <c r="H387" s="265">
        <f>E387-G387</f>
        <v>9.2515000000000001</v>
      </c>
      <c r="I387" s="265">
        <f>0.4968</f>
        <v>0.49680000000000002</v>
      </c>
      <c r="J387" s="132"/>
    </row>
    <row r="388" spans="1:10" ht="14.1" customHeight="1" x14ac:dyDescent="0.25">
      <c r="A388" s="215"/>
      <c r="B388" s="74"/>
      <c r="C388" s="276" t="s">
        <v>110</v>
      </c>
      <c r="D388" s="279"/>
      <c r="E388" s="280"/>
      <c r="F388" s="265">
        <f>2.69384</f>
        <v>2.6938399999999998</v>
      </c>
      <c r="G388" s="265">
        <f>120.79969</f>
        <v>120.79969</v>
      </c>
      <c r="H388" s="265">
        <f>E388-G388</f>
        <v>-120.79969</v>
      </c>
      <c r="I388" s="265">
        <f>240.41476</f>
        <v>240.41476</v>
      </c>
      <c r="J388" s="132"/>
    </row>
    <row r="389" spans="1:10" ht="19.5" customHeight="1" x14ac:dyDescent="0.25">
      <c r="A389" s="215"/>
      <c r="B389" s="74"/>
      <c r="C389" s="282" t="s">
        <v>41</v>
      </c>
      <c r="D389" s="283">
        <f>D378+D383+D384+D387+D388</f>
        <v>27275</v>
      </c>
      <c r="E389" s="283">
        <f>E378+E383+E384+E387+E388</f>
        <v>29612</v>
      </c>
      <c r="F389" s="284">
        <f t="shared" ref="F389:I389" si="17">F378+F383+F384+F387+F388</f>
        <v>120.68259999999999</v>
      </c>
      <c r="G389" s="284">
        <f t="shared" si="17"/>
        <v>26548.468190000003</v>
      </c>
      <c r="H389" s="284">
        <f>H378+H383+H384+H387+H388</f>
        <v>3063.53181</v>
      </c>
      <c r="I389" s="284">
        <f t="shared" si="17"/>
        <v>19855.877619999999</v>
      </c>
      <c r="J389" s="132"/>
    </row>
    <row r="390" spans="1:10" ht="14.1" customHeight="1" x14ac:dyDescent="0.25">
      <c r="A390" s="215"/>
      <c r="B390" s="74"/>
      <c r="C390" s="163" t="s">
        <v>111</v>
      </c>
      <c r="D390" s="286"/>
      <c r="E390" s="286"/>
      <c r="F390" s="4"/>
      <c r="G390" s="4"/>
      <c r="H390" s="5"/>
      <c r="I390" s="5"/>
      <c r="J390" s="132"/>
    </row>
    <row r="391" spans="1:10" ht="14.1" customHeight="1" x14ac:dyDescent="0.25">
      <c r="A391" s="215"/>
      <c r="B391" s="74"/>
      <c r="C391" s="101" t="s">
        <v>121</v>
      </c>
      <c r="D391" s="286"/>
      <c r="E391" s="286"/>
      <c r="F391" s="4"/>
      <c r="G391" s="4"/>
      <c r="H391" s="7"/>
      <c r="I391" s="5"/>
      <c r="J391" s="132"/>
    </row>
    <row r="392" spans="1:10" ht="14.1" customHeight="1" x14ac:dyDescent="0.25">
      <c r="A392" s="215"/>
      <c r="B392" s="74"/>
      <c r="C392" s="101" t="s">
        <v>122</v>
      </c>
      <c r="D392" s="286"/>
      <c r="E392" s="286"/>
      <c r="F392" s="4"/>
      <c r="G392" s="4"/>
      <c r="H392" s="5"/>
      <c r="I392" s="7"/>
      <c r="J392" s="132"/>
    </row>
    <row r="393" spans="1:10" ht="15.75" customHeight="1" x14ac:dyDescent="0.25">
      <c r="A393" s="215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5"/>
      <c r="B394" s="152" t="s">
        <v>119</v>
      </c>
      <c r="C394" s="14"/>
      <c r="D394" s="1"/>
      <c r="E394" s="1"/>
      <c r="F394" s="1"/>
      <c r="G394" s="1"/>
      <c r="H394" s="1"/>
      <c r="I394" s="1"/>
      <c r="J394" s="152"/>
    </row>
    <row r="395" spans="1:10" ht="279.75" customHeight="1" x14ac:dyDescent="0.25">
      <c r="A395" s="215"/>
      <c r="B395" s="152" t="s">
        <v>119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5"/>
      <c r="C396" s="152" t="s">
        <v>119</v>
      </c>
      <c r="D396" s="159"/>
    </row>
    <row r="397" spans="1:10" ht="14.1" customHeight="1" x14ac:dyDescent="0.25">
      <c r="A397" s="215"/>
      <c r="B397" s="126"/>
      <c r="C397" s="236"/>
      <c r="D397" s="17"/>
      <c r="E397" s="236"/>
      <c r="F397" s="236"/>
      <c r="G397" s="236"/>
      <c r="H397" s="236"/>
      <c r="I397" s="236"/>
      <c r="J397" s="62"/>
    </row>
    <row r="398" spans="1:10" ht="14.1" customHeight="1" x14ac:dyDescent="0.25">
      <c r="A398" s="215"/>
      <c r="B398" s="74"/>
      <c r="C398" s="216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5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5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5"/>
      <c r="B401" s="74"/>
      <c r="C401" s="256" t="s">
        <v>6</v>
      </c>
      <c r="D401" s="267"/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5"/>
      <c r="B402" s="74"/>
      <c r="C402" s="245" t="s">
        <v>92</v>
      </c>
      <c r="D402" s="46"/>
      <c r="E402" s="152"/>
      <c r="G402" s="152"/>
      <c r="H402" s="152"/>
      <c r="I402" s="152"/>
      <c r="J402" s="132"/>
    </row>
    <row r="403" spans="1:10" ht="14.1" customHeight="1" x14ac:dyDescent="0.25">
      <c r="A403" s="215"/>
      <c r="B403" s="74"/>
      <c r="C403" s="245" t="s">
        <v>75</v>
      </c>
      <c r="D403" s="46"/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5"/>
      <c r="B404" s="74"/>
      <c r="C404" s="57" t="s">
        <v>50</v>
      </c>
      <c r="D404" s="35"/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5"/>
      <c r="B405" s="74"/>
      <c r="C405" s="225"/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5"/>
      <c r="B406" s="74"/>
      <c r="C406" s="101"/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5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5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5"/>
      <c r="B409" s="228"/>
      <c r="C409" s="231" t="s">
        <v>15</v>
      </c>
      <c r="D409" s="231"/>
      <c r="E409" s="231"/>
      <c r="F409" s="231"/>
      <c r="G409" s="231"/>
      <c r="H409" s="231"/>
      <c r="I409" s="231"/>
      <c r="J409" s="235"/>
    </row>
    <row r="410" spans="1:10" ht="78" customHeight="1" thickBot="1" x14ac:dyDescent="0.3">
      <c r="A410" s="215"/>
      <c r="B410" s="200"/>
      <c r="C410" s="20" t="s">
        <v>114</v>
      </c>
      <c r="D410" s="22" t="s">
        <v>115</v>
      </c>
      <c r="E410" s="20" t="s">
        <v>140</v>
      </c>
      <c r="F410" s="20" t="s">
        <v>141</v>
      </c>
      <c r="G410" s="25" t="s">
        <v>142</v>
      </c>
      <c r="H410" s="20" t="s">
        <v>143</v>
      </c>
      <c r="I410" s="221"/>
      <c r="J410" s="13"/>
    </row>
    <row r="411" spans="1:10" ht="14.1" customHeight="1" thickBot="1" x14ac:dyDescent="0.3">
      <c r="A411" s="215"/>
      <c r="B411" s="74"/>
      <c r="C411" s="262" t="s">
        <v>116</v>
      </c>
      <c r="D411" s="10">
        <v>1235</v>
      </c>
      <c r="E411" s="26">
        <f>E413+E412</f>
        <v>0</v>
      </c>
      <c r="F411" s="26">
        <f>F413+F412</f>
        <v>986.41022999999996</v>
      </c>
      <c r="G411" s="87">
        <f>D411-F411</f>
        <v>248.58977000000004</v>
      </c>
      <c r="H411" s="26">
        <f>SUM(H412:H413)</f>
        <v>1838.2897400000002</v>
      </c>
      <c r="I411" s="27"/>
      <c r="J411" s="132"/>
    </row>
    <row r="412" spans="1:10" ht="14.1" customHeight="1" thickBot="1" x14ac:dyDescent="0.3">
      <c r="A412" s="215"/>
      <c r="B412" s="74"/>
      <c r="C412" s="29" t="s">
        <v>8</v>
      </c>
      <c r="E412" s="206">
        <f>0</f>
        <v>0</v>
      </c>
      <c r="F412" s="206">
        <f>751.83123</f>
        <v>751.83123000000001</v>
      </c>
      <c r="G412" s="207"/>
      <c r="H412" s="206">
        <f>1442.8911</f>
        <v>1442.8911000000001</v>
      </c>
      <c r="I412" s="152"/>
      <c r="J412" s="132"/>
    </row>
    <row r="413" spans="1:10" ht="14.1" customHeight="1" x14ac:dyDescent="0.25">
      <c r="A413" s="215"/>
      <c r="B413" s="74"/>
      <c r="C413" s="29" t="s">
        <v>11</v>
      </c>
      <c r="D413" s="208"/>
      <c r="E413" s="209">
        <f>0</f>
        <v>0</v>
      </c>
      <c r="F413" s="209">
        <f>234.579</f>
        <v>234.57900000000001</v>
      </c>
      <c r="G413" s="210"/>
      <c r="H413" s="209">
        <f>395.39864</f>
        <v>395.39864</v>
      </c>
      <c r="I413" s="152"/>
      <c r="J413" s="132"/>
    </row>
    <row r="414" spans="1:10" ht="14.1" customHeight="1" x14ac:dyDescent="0.25">
      <c r="A414" s="215"/>
      <c r="B414" s="74"/>
      <c r="C414" s="262" t="s">
        <v>117</v>
      </c>
      <c r="D414" s="10">
        <v>1060</v>
      </c>
      <c r="E414" s="26">
        <f>SUM(E415:E416)</f>
        <v>53.340899999999998</v>
      </c>
      <c r="F414" s="26">
        <f>SUM(F415:F416)</f>
        <v>80.882900000000006</v>
      </c>
      <c r="G414" s="87">
        <f>D414-F414</f>
        <v>979.11709999999994</v>
      </c>
      <c r="H414" s="26">
        <f>SUM(H415:H416)</f>
        <v>136.97669999999999</v>
      </c>
      <c r="I414" s="27"/>
      <c r="J414" s="132"/>
    </row>
    <row r="415" spans="1:10" ht="14.1" customHeight="1" x14ac:dyDescent="0.25">
      <c r="A415" s="215"/>
      <c r="B415" s="74"/>
      <c r="C415" s="29" t="s">
        <v>8</v>
      </c>
      <c r="D415" s="44"/>
      <c r="E415" s="30">
        <f>35.1725</f>
        <v>35.172499999999999</v>
      </c>
      <c r="F415" s="30">
        <f>55.0965</f>
        <v>55.096499999999999</v>
      </c>
      <c r="G415" s="99"/>
      <c r="H415" s="30">
        <f>115.7783</f>
        <v>115.7783</v>
      </c>
      <c r="I415" s="152"/>
      <c r="J415" s="132"/>
    </row>
    <row r="416" spans="1:10" ht="14.1" customHeight="1" x14ac:dyDescent="0.25">
      <c r="A416" s="215"/>
      <c r="B416" s="74"/>
      <c r="C416" s="29" t="s">
        <v>11</v>
      </c>
      <c r="D416" s="218"/>
      <c r="E416" s="30">
        <f>18.1684</f>
        <v>18.168399999999998</v>
      </c>
      <c r="F416" s="30">
        <f>25.7864</f>
        <v>25.7864</v>
      </c>
      <c r="G416" s="110"/>
      <c r="H416" s="30">
        <f>21.1984</f>
        <v>21.198399999999999</v>
      </c>
      <c r="I416" s="152"/>
      <c r="J416" s="132"/>
    </row>
    <row r="417" spans="1:10" ht="14.1" customHeight="1" x14ac:dyDescent="0.25">
      <c r="A417" s="215"/>
      <c r="B417" s="74"/>
      <c r="C417" s="262" t="s">
        <v>118</v>
      </c>
      <c r="D417" s="10">
        <v>1235</v>
      </c>
      <c r="E417" s="36">
        <f>SUM(E418:E419)</f>
        <v>0</v>
      </c>
      <c r="F417" s="36">
        <f>SUM(F418:F419)</f>
        <v>0</v>
      </c>
      <c r="G417" s="87">
        <f>D417-F417</f>
        <v>1235</v>
      </c>
      <c r="H417" s="36">
        <f>SUM(H418:H419)</f>
        <v>0</v>
      </c>
      <c r="I417" s="152"/>
      <c r="J417" s="132"/>
    </row>
    <row r="418" spans="1:10" ht="14.1" customHeight="1" x14ac:dyDescent="0.25">
      <c r="A418" s="215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5"/>
      <c r="B419" s="74"/>
      <c r="C419" s="29" t="s">
        <v>11</v>
      </c>
      <c r="D419" s="218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5"/>
      <c r="B420" s="74"/>
      <c r="C420" s="276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5"/>
      <c r="B421" s="74"/>
      <c r="C421" s="282" t="s">
        <v>88</v>
      </c>
      <c r="D421" s="41"/>
      <c r="E421" s="42">
        <f>E411+E414+E417+E420</f>
        <v>53.340899999999998</v>
      </c>
      <c r="F421" s="42">
        <f>F411+F414+F417+F420</f>
        <v>1067.29313</v>
      </c>
      <c r="G421" s="43"/>
      <c r="H421" s="42">
        <f>H411+H414+H417+H420</f>
        <v>1975.2664400000001</v>
      </c>
      <c r="I421" s="27"/>
      <c r="J421" s="132"/>
    </row>
    <row r="422" spans="1:10" ht="18.75" customHeight="1" x14ac:dyDescent="0.25">
      <c r="A422" s="215"/>
      <c r="B422" s="74"/>
      <c r="C422" s="152" t="s">
        <v>144</v>
      </c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5"/>
      <c r="B423" s="8"/>
      <c r="C423" s="211"/>
      <c r="D423" s="202"/>
      <c r="E423" s="211"/>
      <c r="F423" s="211"/>
      <c r="G423" s="211"/>
      <c r="H423" s="211"/>
      <c r="I423" s="211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45&amp;R14.11.2023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2023-11-14T09:28:00Z</dcterms:modified>
</cp:coreProperties>
</file>