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A12426C7-B076-4FD5-8232-0FDB5EA10E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0" i="1" l="1"/>
  <c r="H390" i="1"/>
  <c r="G132" i="1"/>
  <c r="H132" i="1" s="1"/>
  <c r="D423" i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D391" i="1"/>
  <c r="G390" i="1"/>
  <c r="F390" i="1"/>
  <c r="I389" i="1"/>
  <c r="G389" i="1"/>
  <c r="H389" i="1" s="1"/>
  <c r="F389" i="1"/>
  <c r="I388" i="1"/>
  <c r="G388" i="1"/>
  <c r="F388" i="1"/>
  <c r="I387" i="1"/>
  <c r="I386" i="1" s="1"/>
  <c r="I391" i="1" s="1"/>
  <c r="G387" i="1"/>
  <c r="F387" i="1"/>
  <c r="H386" i="1"/>
  <c r="G386" i="1"/>
  <c r="F386" i="1"/>
  <c r="I385" i="1"/>
  <c r="H385" i="1"/>
  <c r="G385" i="1"/>
  <c r="F385" i="1"/>
  <c r="I384" i="1"/>
  <c r="H384" i="1"/>
  <c r="G384" i="1"/>
  <c r="F384" i="1"/>
  <c r="I383" i="1"/>
  <c r="H383" i="1"/>
  <c r="H380" i="1" s="1"/>
  <c r="G383" i="1"/>
  <c r="F383" i="1"/>
  <c r="I382" i="1"/>
  <c r="H382" i="1"/>
  <c r="G382" i="1"/>
  <c r="F382" i="1"/>
  <c r="I381" i="1"/>
  <c r="H381" i="1"/>
  <c r="G381" i="1"/>
  <c r="F381" i="1"/>
  <c r="I380" i="1"/>
  <c r="G380" i="1"/>
  <c r="G391" i="1" s="1"/>
  <c r="F380" i="1"/>
  <c r="F391" i="1" s="1"/>
  <c r="D380" i="1"/>
  <c r="H372" i="1"/>
  <c r="F372" i="1"/>
  <c r="F354" i="1"/>
  <c r="D354" i="1"/>
  <c r="G354" i="1" s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H354" i="1" s="1"/>
  <c r="G350" i="1"/>
  <c r="F350" i="1"/>
  <c r="E350" i="1"/>
  <c r="E354" i="1" s="1"/>
  <c r="D343" i="1"/>
  <c r="D299" i="1"/>
  <c r="H298" i="1"/>
  <c r="G298" i="1"/>
  <c r="F298" i="1"/>
  <c r="E298" i="1"/>
  <c r="H297" i="1"/>
  <c r="F297" i="1"/>
  <c r="E297" i="1"/>
  <c r="H296" i="1"/>
  <c r="H295" i="1" s="1"/>
  <c r="H299" i="1" s="1"/>
  <c r="F296" i="1"/>
  <c r="F295" i="1" s="1"/>
  <c r="E296" i="1"/>
  <c r="E295" i="1" s="1"/>
  <c r="E299" i="1" s="1"/>
  <c r="D253" i="1"/>
  <c r="H252" i="1"/>
  <c r="F252" i="1"/>
  <c r="G252" i="1" s="1"/>
  <c r="E252" i="1"/>
  <c r="H251" i="1"/>
  <c r="H249" i="1" s="1"/>
  <c r="H253" i="1" s="1"/>
  <c r="F251" i="1"/>
  <c r="E251" i="1"/>
  <c r="H250" i="1"/>
  <c r="F250" i="1"/>
  <c r="F249" i="1" s="1"/>
  <c r="E250" i="1"/>
  <c r="E249" i="1"/>
  <c r="E253" i="1" s="1"/>
  <c r="H207" i="1"/>
  <c r="D207" i="1"/>
  <c r="H206" i="1"/>
  <c r="F206" i="1"/>
  <c r="G206" i="1" s="1"/>
  <c r="E206" i="1"/>
  <c r="H205" i="1"/>
  <c r="G205" i="1"/>
  <c r="F205" i="1"/>
  <c r="E205" i="1"/>
  <c r="H204" i="1"/>
  <c r="F204" i="1"/>
  <c r="G204" i="1" s="1"/>
  <c r="E204" i="1"/>
  <c r="E207" i="1" s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F179" i="1"/>
  <c r="F178" i="1" s="1"/>
  <c r="G178" i="1" s="1"/>
  <c r="E179" i="1"/>
  <c r="H178" i="1"/>
  <c r="E178" i="1"/>
  <c r="H177" i="1"/>
  <c r="F177" i="1"/>
  <c r="G177" i="1" s="1"/>
  <c r="E177" i="1"/>
  <c r="H176" i="1"/>
  <c r="F176" i="1"/>
  <c r="E176" i="1"/>
  <c r="H175" i="1"/>
  <c r="H184" i="1" s="1"/>
  <c r="F175" i="1"/>
  <c r="F184" i="1" s="1"/>
  <c r="G184" i="1" s="1"/>
  <c r="E175" i="1"/>
  <c r="E184" i="1" s="1"/>
  <c r="D167" i="1"/>
  <c r="D169" i="1" s="1"/>
  <c r="I148" i="1"/>
  <c r="H148" i="1"/>
  <c r="G148" i="1"/>
  <c r="F148" i="1"/>
  <c r="I147" i="1"/>
  <c r="G147" i="1"/>
  <c r="H147" i="1" s="1"/>
  <c r="F147" i="1"/>
  <c r="H146" i="1"/>
  <c r="I145" i="1"/>
  <c r="H145" i="1"/>
  <c r="G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I139" i="1" s="1"/>
  <c r="H141" i="1"/>
  <c r="G141" i="1"/>
  <c r="F141" i="1"/>
  <c r="I140" i="1"/>
  <c r="G140" i="1"/>
  <c r="H140" i="1" s="1"/>
  <c r="H139" i="1" s="1"/>
  <c r="F140" i="1"/>
  <c r="F139" i="1"/>
  <c r="F133" i="1" s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I134" i="1"/>
  <c r="G134" i="1"/>
  <c r="F134" i="1"/>
  <c r="E134" i="1"/>
  <c r="D134" i="1"/>
  <c r="D133" i="1" s="1"/>
  <c r="E133" i="1"/>
  <c r="I132" i="1"/>
  <c r="F132" i="1"/>
  <c r="I131" i="1"/>
  <c r="G131" i="1"/>
  <c r="H131" i="1" s="1"/>
  <c r="F131" i="1"/>
  <c r="I130" i="1"/>
  <c r="H130" i="1"/>
  <c r="G130" i="1"/>
  <c r="F130" i="1"/>
  <c r="I129" i="1"/>
  <c r="I128" i="1" s="1"/>
  <c r="G129" i="1"/>
  <c r="G128" i="1" s="1"/>
  <c r="F129" i="1"/>
  <c r="F128" i="1" s="1"/>
  <c r="F150" i="1" s="1"/>
  <c r="E128" i="1"/>
  <c r="E150" i="1" s="1"/>
  <c r="D128" i="1"/>
  <c r="D150" i="1" s="1"/>
  <c r="C126" i="1"/>
  <c r="I106" i="1"/>
  <c r="G106" i="1"/>
  <c r="H106" i="1" s="1"/>
  <c r="F106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H97" i="1" s="1"/>
  <c r="F97" i="1"/>
  <c r="F96" i="1" s="1"/>
  <c r="F95" i="1" s="1"/>
  <c r="E96" i="1"/>
  <c r="E95" i="1" s="1"/>
  <c r="D96" i="1"/>
  <c r="D95" i="1"/>
  <c r="I94" i="1"/>
  <c r="G94" i="1"/>
  <c r="H94" i="1" s="1"/>
  <c r="F94" i="1"/>
  <c r="F92" i="1" s="1"/>
  <c r="F107" i="1" s="1"/>
  <c r="I93" i="1"/>
  <c r="G93" i="1"/>
  <c r="G92" i="1" s="1"/>
  <c r="F93" i="1"/>
  <c r="I92" i="1"/>
  <c r="I107" i="1" s="1"/>
  <c r="E92" i="1"/>
  <c r="D92" i="1"/>
  <c r="D107" i="1" s="1"/>
  <c r="C89" i="1"/>
  <c r="H85" i="1"/>
  <c r="F85" i="1"/>
  <c r="D85" i="1"/>
  <c r="H61" i="1"/>
  <c r="H60" i="1"/>
  <c r="I35" i="1" s="1"/>
  <c r="I34" i="1" s="1"/>
  <c r="I26" i="1" s="1"/>
  <c r="I55" i="1"/>
  <c r="I32" i="1" s="1"/>
  <c r="I27" i="1" s="1"/>
  <c r="G55" i="1"/>
  <c r="G32" i="1" s="1"/>
  <c r="H32" i="1" s="1"/>
  <c r="F55" i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G35" i="1"/>
  <c r="H35" i="1" s="1"/>
  <c r="F35" i="1"/>
  <c r="E35" i="1"/>
  <c r="D34" i="1"/>
  <c r="I33" i="1"/>
  <c r="H33" i="1"/>
  <c r="G33" i="1"/>
  <c r="F33" i="1"/>
  <c r="F32" i="1"/>
  <c r="I31" i="1"/>
  <c r="G31" i="1"/>
  <c r="H31" i="1" s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E27" i="1"/>
  <c r="D27" i="1"/>
  <c r="E26" i="1"/>
  <c r="D26" i="1"/>
  <c r="I25" i="1"/>
  <c r="G25" i="1"/>
  <c r="G23" i="1" s="1"/>
  <c r="F25" i="1"/>
  <c r="F23" i="1" s="1"/>
  <c r="I24" i="1"/>
  <c r="I23" i="1" s="1"/>
  <c r="H24" i="1"/>
  <c r="G24" i="1"/>
  <c r="F24" i="1"/>
  <c r="E23" i="1"/>
  <c r="E44" i="1" s="1"/>
  <c r="D23" i="1"/>
  <c r="D44" i="1" s="1"/>
  <c r="H16" i="1"/>
  <c r="F16" i="1"/>
  <c r="D16" i="1"/>
  <c r="I44" i="1" l="1"/>
  <c r="F34" i="1"/>
  <c r="F26" i="1" s="1"/>
  <c r="F44" i="1" s="1"/>
  <c r="F27" i="1"/>
  <c r="H92" i="1"/>
  <c r="H107" i="1" s="1"/>
  <c r="E107" i="1"/>
  <c r="H391" i="1"/>
  <c r="G249" i="1"/>
  <c r="F253" i="1"/>
  <c r="G253" i="1" s="1"/>
  <c r="G133" i="1"/>
  <c r="G150" i="1" s="1"/>
  <c r="H134" i="1"/>
  <c r="H133" i="1" s="1"/>
  <c r="F299" i="1"/>
  <c r="G295" i="1"/>
  <c r="I133" i="1"/>
  <c r="I150" i="1" s="1"/>
  <c r="H96" i="1"/>
  <c r="H95" i="1" s="1"/>
  <c r="G299" i="1"/>
  <c r="F423" i="1"/>
  <c r="G423" i="1" s="1"/>
  <c r="G413" i="1"/>
  <c r="H27" i="1"/>
  <c r="F207" i="1"/>
  <c r="G207" i="1" s="1"/>
  <c r="G27" i="1"/>
  <c r="G139" i="1"/>
  <c r="H55" i="1"/>
  <c r="H129" i="1"/>
  <c r="H128" i="1" s="1"/>
  <c r="G96" i="1"/>
  <c r="G95" i="1" s="1"/>
  <c r="G107" i="1" s="1"/>
  <c r="H93" i="1"/>
  <c r="H25" i="1"/>
  <c r="H23" i="1" s="1"/>
  <c r="G34" i="1"/>
  <c r="G175" i="1"/>
  <c r="H34" i="1" l="1"/>
  <c r="H26" i="1" s="1"/>
  <c r="H44" i="1" s="1"/>
  <c r="G26" i="1"/>
  <c r="G44" i="1" s="1"/>
  <c r="H150" i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<sst xmlns="http://schemas.openxmlformats.org/spreadsheetml/2006/main" count="359" uniqueCount="151">
  <si>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</si>
  <si>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</si>
  <si>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</si>
  <si>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</si>
  <si>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</si>
  <si>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</si>
  <si>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</si>
  <si>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</si>
  <si>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</si>
  <si>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</si>
  <si>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</si>
  <si>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</si>
  <si>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</si>
  <si>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</si>
  <si>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</si>
  <si>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</si>
  <si>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</si>
  <si>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</si>
  <si>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</si>
  <si>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</si>
  <si>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</si>
  <si>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</si>
  <si>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</si>
  <si>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</si>
  <si>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</si>
  <si>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</si>
  <si>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</si>
  <si>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</si>
  <si>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</si>
  <si>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</si>
  <si>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</si>
  <si>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</si>
  <si>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</si>
  <si>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</si>
  <si>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</si>
  <si>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</si>
  <si>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</si>
  <si>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</si>
  <si>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</si>
  <si>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</si>
  <si>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</si>
  <si>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</si>
  <si>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</si>
  <si>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</si>
  <si>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</si>
  <si>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</si>
  <si>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</si>
  <si>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</si>
  <si>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</si>
  <si>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</si>
  <si>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</si>
  <si>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</si>
  <si>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</si>
  <si>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</si>
  <si>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</si>
  <si>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</si>
  <si>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</si>
  <si>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</si>
  <si>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</si>
  <si>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</si>
  <si>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</si>
  <si>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</si>
  <si>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</si>
  <si>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</si>
  <si>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</si>
  <si>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</si>
  <si>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</si>
  <si>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</si>
  <si>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</si>
  <si>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</si>
  <si>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</si>
  <si>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</si>
  <si>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</si>
  <si>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</si>
  <si>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</si>
  <si>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</si>
  <si>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</si>
  <si>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</si>
  <si>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</si>
  <si>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</si>
  <si>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</si>
  <si>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</si>
  <si>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</si>
  <si>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</si>
  <si>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</si>
  <si>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</si>
  <si>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</si>
  <si>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</si>
  <si>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</si>
  <si>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</si>
  <si>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</si>
  <si>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</si>
  <si>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</si>
  <si>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</si>
  <si>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</si>
  <si>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</si>
  <si>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</si>
  <si>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</si>
  <si>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</si>
  <si>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</si>
  <si>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</si>
  <si>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</si>
  <si>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</si>
  <si>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</si>
  <si>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</si>
  <si>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</si>
  <si>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</si>
  <si>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</si>
  <si>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</si>
  <si>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</si>
  <si>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</si>
  <si>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</si>
  <si>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</si>
  <si>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</si>
  <si>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</si>
  <si>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</si>
  <si>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</si>
  <si>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</si>
  <si>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</si>
  <si>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</si>
  <si>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</si>
  <si>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</si>
  <si>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</si>
  <si>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</si>
  <si>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</si>
  <si>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</si>
  <si>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</si>
  <si>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</si>
  <si>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</si>
  <si>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</si>
  <si>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</si>
  <si>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</si>
  <si>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</si>
  <si>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</si>
  <si>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</si>
  <si>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</si>
  <si>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</si>
  <si>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</si>
  <si>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</si>
  <si>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</si>
  <si>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</si>
  <si>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</si>
  <si>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</si>
  <si>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61 tonn, men det legges til grunn at hele avsetningen tas</t>
  </si>
  <si>
    <t>4 Registrert rekreasjonsfiske utgjør 509 tonn, men det legges til grunn at hele avsetningen tas</t>
  </si>
  <si>
    <t>3 Registrert rekreasjonsfiske utgjør 884 tonn, men det legges til grunn at hele avsetningen tas</t>
  </si>
  <si>
    <t>FANGST UKE 46</t>
  </si>
  <si>
    <t>FANGST T.O.M UKE 46</t>
  </si>
  <si>
    <t>RESTKVOTER UKE 46</t>
  </si>
  <si>
    <t>FANGST T.O.M UKE 46 2023</t>
  </si>
  <si>
    <r>
      <t>3</t>
    </r>
    <r>
      <rPr>
        <sz val="9"/>
        <color indexed="8"/>
        <rFont val="Calibri"/>
        <family val="2"/>
      </rPr>
      <t xml:space="preserve"> Det er fisket 7 183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</si>
</sst>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292" zoomScale="82" zoomScaleNormal="85" zoomScaleSheetLayoutView="100" zoomScalePageLayoutView="82" workbookViewId="0">
      <selection activeCell="G335" sqref="G335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3" t="s">
        <v>118</v>
      </c>
      <c r="C2" s="304"/>
      <c r="D2" s="304"/>
      <c r="E2" s="304"/>
      <c r="F2" s="304"/>
      <c r="G2" s="304"/>
      <c r="H2" s="304"/>
      <c r="I2" s="304"/>
      <c r="J2" s="30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302" t="s">
        <v>135</v>
      </c>
      <c r="D17" s="302"/>
      <c r="E17" s="302"/>
      <c r="F17" s="302"/>
      <c r="G17" s="302"/>
      <c r="H17" s="30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1084.3496400000001</v>
      </c>
      <c r="G23" s="28">
        <f t="shared" si="0"/>
        <v>48160.796450000002</v>
      </c>
      <c r="H23" s="11">
        <f t="shared" si="0"/>
        <v>12651.20355</v>
      </c>
      <c r="I23" s="11">
        <f t="shared" si="0"/>
        <v>71493.850219999993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1071.4635</f>
        <v>1071.4635000000001</v>
      </c>
      <c r="G24" s="23">
        <f>47600.63852</f>
        <v>47600.63852</v>
      </c>
      <c r="H24" s="23">
        <f>E24-G24</f>
        <v>12441.36148</v>
      </c>
      <c r="I24" s="23">
        <f>70883.55337</f>
        <v>70883.553369999994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12.88614</f>
        <v>12.886139999999999</v>
      </c>
      <c r="G25" s="23">
        <f>560.15793</f>
        <v>560.15792999999996</v>
      </c>
      <c r="H25" s="23">
        <f>E25-G25</f>
        <v>209.84207000000004</v>
      </c>
      <c r="I25" s="23">
        <f>610.29685</f>
        <v>610.29684999999995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1235.96549</v>
      </c>
      <c r="G26" s="11">
        <f t="shared" si="1"/>
        <v>130018.44166999999</v>
      </c>
      <c r="H26" s="11">
        <f t="shared" si="1"/>
        <v>14855.55833</v>
      </c>
      <c r="I26" s="11">
        <f t="shared" si="1"/>
        <v>195243.76611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1028.0690500000001</v>
      </c>
      <c r="G27" s="132">
        <f t="shared" ref="G27:I27" si="2">G28+G29+G30+G31+G32</f>
        <v>104782.34993999999</v>
      </c>
      <c r="H27" s="132">
        <f t="shared" si="2"/>
        <v>8195.6500599999999</v>
      </c>
      <c r="I27" s="132">
        <f t="shared" si="2"/>
        <v>150819.82673999999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255.48962</f>
        <v>255.48962</v>
      </c>
      <c r="G28" s="127">
        <f>27303.65082 - G56</f>
        <v>26020.650819999999</v>
      </c>
      <c r="H28" s="127">
        <f t="shared" ref="H28:H40" si="3">E28-G28</f>
        <v>2609.3491800000011</v>
      </c>
      <c r="I28" s="127">
        <f>38248.81034 - H56</f>
        <v>38248.810340000004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220.78173</f>
        <v>220.78173000000001</v>
      </c>
      <c r="G29" s="127">
        <f>30014.33481 - G57</f>
        <v>28312.33481</v>
      </c>
      <c r="H29" s="127">
        <f t="shared" si="3"/>
        <v>1352.6651899999997</v>
      </c>
      <c r="I29" s="127">
        <f>41504.20686 - H57</f>
        <v>41504.206859999998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156.91309</f>
        <v>156.91309000000001</v>
      </c>
      <c r="G30" s="127">
        <f>27276.09688 - G58</f>
        <v>25932.096880000001</v>
      </c>
      <c r="H30" s="127">
        <f t="shared" si="3"/>
        <v>1311.903119999999</v>
      </c>
      <c r="I30" s="127">
        <f>37906.8049 - H58</f>
        <v>37906.804900000003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23.88461</f>
        <v>23.884609999999999</v>
      </c>
      <c r="G31" s="127">
        <f>20188.26743 - G59</f>
        <v>19058.26743</v>
      </c>
      <c r="H31" s="127">
        <f t="shared" si="3"/>
        <v>280.73257000000012</v>
      </c>
      <c r="I31" s="127">
        <f>25373.00464 - H59</f>
        <v>25373.004639999999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371</v>
      </c>
      <c r="G32" s="127">
        <f>G55</f>
        <v>5459</v>
      </c>
      <c r="H32" s="127">
        <f t="shared" si="3"/>
        <v>2641</v>
      </c>
      <c r="I32" s="127">
        <f>I55</f>
        <v>7787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38.25142</f>
        <v>38.251420000000003</v>
      </c>
      <c r="G33" s="132">
        <f>12792.53277</f>
        <v>12792.53277</v>
      </c>
      <c r="H33" s="132">
        <f t="shared" si="3"/>
        <v>4066.4672300000002</v>
      </c>
      <c r="I33" s="132">
        <f>18654.79157</f>
        <v>18654.791570000001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169.64501999999999</v>
      </c>
      <c r="G34" s="132">
        <f>G35+G36</f>
        <v>12443.55896</v>
      </c>
      <c r="H34" s="132">
        <f t="shared" si="3"/>
        <v>2593.4410399999997</v>
      </c>
      <c r="I34" s="132">
        <f>I35+I36</f>
        <v>25769.147799999999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101.64502</f>
        <v>101.64502</v>
      </c>
      <c r="G35" s="132">
        <f>15334.55896 - G60 - G61</f>
        <v>11683.55896</v>
      </c>
      <c r="H35" s="127">
        <f t="shared" si="3"/>
        <v>2393.4410399999997</v>
      </c>
      <c r="I35" s="127">
        <f>25225.1478 - H60 - H61</f>
        <v>24916.147799999999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68</v>
      </c>
      <c r="G36" s="71">
        <f>G60</f>
        <v>760</v>
      </c>
      <c r="H36" s="71">
        <f t="shared" si="3"/>
        <v>200</v>
      </c>
      <c r="I36" s="71">
        <f>I60</f>
        <v>853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2.7598</f>
        <v>2.7597999999999998</v>
      </c>
      <c r="G38" s="98">
        <f>504.82456</f>
        <v>504.82456000000002</v>
      </c>
      <c r="H38" s="98">
        <f t="shared" si="3"/>
        <v>350.17543999999998</v>
      </c>
      <c r="I38" s="98">
        <f>544.69202</f>
        <v>544.69201999999996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13</v>
      </c>
      <c r="G39" s="98">
        <f>G61</f>
        <v>2891</v>
      </c>
      <c r="H39" s="98">
        <f t="shared" si="3"/>
        <v>109</v>
      </c>
      <c r="I39" s="98">
        <f>I61</f>
        <v>4458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1.06554</f>
        <v>1.0655399999999999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3.1983</f>
        <v>3.1983000000000001</v>
      </c>
      <c r="G41" s="98">
        <f>351.5783</f>
        <v>351.57830000000001</v>
      </c>
      <c r="H41" s="98">
        <f>E41-G41</f>
        <v>48.421699999999987</v>
      </c>
      <c r="I41" s="98">
        <f>358.6062</f>
        <v>358.6062</v>
      </c>
      <c r="J41" s="244"/>
    </row>
    <row r="42" spans="1:13" ht="17.25" customHeight="1" x14ac:dyDescent="0.3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2.764</f>
        <v>2.7639999999999998</v>
      </c>
      <c r="G43" s="139">
        <f>178.64389</f>
        <v>178.64389</v>
      </c>
      <c r="H43" s="139">
        <f t="shared" ref="H43" si="4">E43-G43</f>
        <v>-178.64389</v>
      </c>
      <c r="I43" s="139">
        <f>158.67277</f>
        <v>158.67277000000001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2343.10277</v>
      </c>
      <c r="G44" s="76">
        <f t="shared" si="5"/>
        <v>189453.65007</v>
      </c>
      <c r="H44" s="76">
        <f t="shared" si="5"/>
        <v>29587.349929999997</v>
      </c>
      <c r="I44" s="76">
        <f t="shared" si="5"/>
        <v>280004.37891999999</v>
      </c>
      <c r="J44" s="244"/>
    </row>
    <row r="45" spans="1:13" ht="14.15" customHeight="1" x14ac:dyDescent="0.3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5" customHeight="1" x14ac:dyDescent="0.35">
      <c r="A55" s="101"/>
      <c r="B55" s="24"/>
      <c r="C55" s="16" t="s">
        <v>45</v>
      </c>
      <c r="D55" s="295">
        <v>7872</v>
      </c>
      <c r="E55" s="295">
        <v>8100</v>
      </c>
      <c r="F55" s="11">
        <f>F59+F58+F57+F56</f>
        <v>371</v>
      </c>
      <c r="G55" s="11">
        <f>G59+G58+G57+G56</f>
        <v>5459</v>
      </c>
      <c r="H55" s="295">
        <f>E55-G55</f>
        <v>2641</v>
      </c>
      <c r="I55" s="11">
        <f>I59+I58+I57+I56</f>
        <v>7787</v>
      </c>
      <c r="J55" s="120"/>
    </row>
    <row r="56" spans="1:10" ht="14.15" customHeight="1" x14ac:dyDescent="0.35">
      <c r="A56" s="101"/>
      <c r="B56" s="24"/>
      <c r="C56" s="62" t="s">
        <v>24</v>
      </c>
      <c r="D56" s="296"/>
      <c r="E56" s="296"/>
      <c r="F56" s="127">
        <v>169</v>
      </c>
      <c r="G56" s="127">
        <v>1283</v>
      </c>
      <c r="H56" s="296"/>
      <c r="I56" s="127">
        <v>1324</v>
      </c>
      <c r="J56" s="120"/>
    </row>
    <row r="57" spans="1:10" ht="14.15" customHeight="1" x14ac:dyDescent="0.35">
      <c r="A57" s="101"/>
      <c r="B57" s="24"/>
      <c r="C57" s="62" t="s">
        <v>25</v>
      </c>
      <c r="D57" s="296"/>
      <c r="E57" s="296"/>
      <c r="F57" s="127">
        <v>156</v>
      </c>
      <c r="G57" s="127">
        <v>1702</v>
      </c>
      <c r="H57" s="296"/>
      <c r="I57" s="127">
        <v>2587</v>
      </c>
      <c r="J57" s="244"/>
    </row>
    <row r="58" spans="1:10" ht="14.15" customHeight="1" x14ac:dyDescent="0.35">
      <c r="A58" s="101"/>
      <c r="B58" s="24"/>
      <c r="C58" s="62" t="s">
        <v>26</v>
      </c>
      <c r="D58" s="296"/>
      <c r="E58" s="296"/>
      <c r="F58" s="127">
        <v>24</v>
      </c>
      <c r="G58" s="127">
        <v>1344</v>
      </c>
      <c r="H58" s="296"/>
      <c r="I58" s="127">
        <v>2596</v>
      </c>
      <c r="J58" s="120"/>
    </row>
    <row r="59" spans="1:10" ht="14.15" customHeight="1" x14ac:dyDescent="0.35">
      <c r="A59" s="101"/>
      <c r="B59" s="24"/>
      <c r="C59" s="87" t="s">
        <v>27</v>
      </c>
      <c r="D59" s="297"/>
      <c r="E59" s="297"/>
      <c r="F59" s="192">
        <v>22</v>
      </c>
      <c r="G59" s="192">
        <v>1130</v>
      </c>
      <c r="H59" s="297"/>
      <c r="I59" s="192">
        <v>1280</v>
      </c>
      <c r="J59" s="120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>
        <v>960</v>
      </c>
      <c r="F60" s="95">
        <v>68</v>
      </c>
      <c r="G60" s="95">
        <v>760</v>
      </c>
      <c r="H60" s="95">
        <f>E60-G60</f>
        <v>200</v>
      </c>
      <c r="I60" s="95">
        <v>853</v>
      </c>
      <c r="J60" s="244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3000</v>
      </c>
      <c r="F61" s="139">
        <v>13</v>
      </c>
      <c r="G61" s="139">
        <v>2891</v>
      </c>
      <c r="H61" s="139">
        <f>E61-G61</f>
        <v>109</v>
      </c>
      <c r="I61" s="139">
        <v>4458</v>
      </c>
      <c r="J61" s="120"/>
    </row>
    <row r="62" spans="1:10" ht="14.15" customHeight="1" x14ac:dyDescent="0.3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230.69200000000001</v>
      </c>
      <c r="G92" s="11">
        <f t="shared" si="6"/>
        <v>24435.751089999998</v>
      </c>
      <c r="H92" s="11">
        <f t="shared" si="6"/>
        <v>1525.2489100000016</v>
      </c>
      <c r="I92" s="11">
        <f t="shared" si="6"/>
        <v>43070.129379999998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224.161</f>
        <v>224.161</v>
      </c>
      <c r="G93" s="23">
        <f>23633.78174</f>
        <v>23633.781739999999</v>
      </c>
      <c r="H93" s="23">
        <f>E93-G93</f>
        <v>1502.2182600000015</v>
      </c>
      <c r="I93" s="23">
        <f>42444.25679</f>
        <v>42444.256789999999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6.531</f>
        <v>6.5309999999999997</v>
      </c>
      <c r="G94" s="50">
        <f>801.96935</f>
        <v>801.96934999999996</v>
      </c>
      <c r="H94" s="50">
        <f>E94-G94</f>
        <v>23.030650000000037</v>
      </c>
      <c r="I94" s="50">
        <f>625.87259</f>
        <v>625.87258999999995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353.77330000000006</v>
      </c>
      <c r="G95" s="11">
        <f t="shared" si="7"/>
        <v>42493.715429999997</v>
      </c>
      <c r="H95" s="11">
        <f t="shared" si="7"/>
        <v>6500.2845700000007</v>
      </c>
      <c r="I95" s="11">
        <f t="shared" si="7"/>
        <v>36875.329729999998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274.61086000000006</v>
      </c>
      <c r="G96" s="132">
        <f t="shared" si="8"/>
        <v>33660.266009999992</v>
      </c>
      <c r="H96" s="132">
        <f t="shared" si="8"/>
        <v>3833.7339900000006</v>
      </c>
      <c r="I96" s="132">
        <f t="shared" si="8"/>
        <v>25016.47363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141.85969</f>
        <v>141.85969</v>
      </c>
      <c r="G97" s="127">
        <f>5842.63515</f>
        <v>5842.6351500000001</v>
      </c>
      <c r="H97" s="127">
        <f t="shared" ref="H97:H104" si="9">E97-G97</f>
        <v>4172.3648499999999</v>
      </c>
      <c r="I97" s="127">
        <f>4681.7915</f>
        <v>4681.7915000000003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37.88996</f>
        <v>37.889960000000002</v>
      </c>
      <c r="G98" s="127">
        <f>10683.77159</f>
        <v>10683.77159</v>
      </c>
      <c r="H98" s="127">
        <f t="shared" si="9"/>
        <v>-69.771590000000288</v>
      </c>
      <c r="I98" s="127">
        <f>7901.7157</f>
        <v>7901.7156999999997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79.87178</f>
        <v>79.871780000000001</v>
      </c>
      <c r="G99" s="127">
        <f>10076.70604</f>
        <v>10076.706039999999</v>
      </c>
      <c r="H99" s="127">
        <f t="shared" si="9"/>
        <v>35.29396000000088</v>
      </c>
      <c r="I99" s="127">
        <f>7130.84571</f>
        <v>7130.8457099999996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14.98943</f>
        <v>14.98943</v>
      </c>
      <c r="G100" s="127">
        <f>7057.15323</f>
        <v>7057.1532299999999</v>
      </c>
      <c r="H100" s="127">
        <f t="shared" si="9"/>
        <v>-304.15322999999989</v>
      </c>
      <c r="I100" s="127">
        <f>5302.12072</f>
        <v>5302.1207199999999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1.9971</f>
        <v>1.9971000000000001</v>
      </c>
      <c r="G101" s="132">
        <f>6118.84595</f>
        <v>6118.8459499999999</v>
      </c>
      <c r="H101" s="132">
        <f t="shared" si="9"/>
        <v>1477.1540500000001</v>
      </c>
      <c r="I101" s="132">
        <f>9531.67368</f>
        <v>9531.6736799999999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77.16534</f>
        <v>77.16534</v>
      </c>
      <c r="G102" s="75">
        <f>2714.60347</f>
        <v>2714.60347</v>
      </c>
      <c r="H102" s="75">
        <f t="shared" si="9"/>
        <v>1189.39653</v>
      </c>
      <c r="I102" s="75">
        <f>2327.18242</f>
        <v>2327.1824200000001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0.05016</f>
        <v>5.0160000000000003E-2</v>
      </c>
      <c r="G103" s="98">
        <f>36.52394</f>
        <v>36.523940000000003</v>
      </c>
      <c r="H103" s="98">
        <f t="shared" si="9"/>
        <v>282.47606000000002</v>
      </c>
      <c r="I103" s="98">
        <f>11.75535</f>
        <v>11.75535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0.14795</f>
        <v>0.14795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3.8995</f>
        <v>3.8995000000000002</v>
      </c>
      <c r="G105" s="98">
        <f>53.8165</f>
        <v>53.816499999999998</v>
      </c>
      <c r="H105" s="139">
        <f>E105-G105</f>
        <v>-3.8164999999999978</v>
      </c>
      <c r="I105" s="98">
        <f>13.78856</f>
        <v>13.78856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3.41</f>
        <v>3.41</v>
      </c>
      <c r="G106" s="139">
        <f>64.8235</f>
        <v>64.823499999999996</v>
      </c>
      <c r="H106" s="139">
        <f t="shared" ref="H106" si="10">E106-G106</f>
        <v>-64.823499999999996</v>
      </c>
      <c r="I106" s="139">
        <f>98.07376</f>
        <v>98.073759999999993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591.97291000000007</v>
      </c>
      <c r="G107" s="76">
        <f t="shared" si="12"/>
        <v>67384.630459999986</v>
      </c>
      <c r="H107" s="76">
        <f t="shared" si="12"/>
        <v>8239.3695400000015</v>
      </c>
      <c r="I107" s="76">
        <f t="shared" si="12"/>
        <v>80369.076780000003</v>
      </c>
      <c r="J107" s="244"/>
    </row>
    <row r="108" spans="1:10" ht="13.5" customHeight="1" x14ac:dyDescent="0.3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3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72627</v>
      </c>
      <c r="F128" s="11">
        <f t="shared" ref="F128:I128" si="13">F129+F130+F131</f>
        <v>967.17544999999996</v>
      </c>
      <c r="G128" s="11">
        <f t="shared" si="13"/>
        <v>56749.595839999994</v>
      </c>
      <c r="H128" s="11">
        <f t="shared" si="13"/>
        <v>15877.40416</v>
      </c>
      <c r="I128" s="11">
        <f t="shared" si="13"/>
        <v>65765.60858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57854</v>
      </c>
      <c r="F129" s="23">
        <f>474.9711</f>
        <v>474.97109999999998</v>
      </c>
      <c r="G129" s="23">
        <f>50491.69629</f>
        <v>50491.69629</v>
      </c>
      <c r="H129" s="23">
        <f>E129-G129</f>
        <v>7362.3037100000001</v>
      </c>
      <c r="I129" s="23">
        <f>57508.22843</f>
        <v>57508.228430000003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14273</v>
      </c>
      <c r="F130" s="23">
        <f>492.20435</f>
        <v>492.20434999999998</v>
      </c>
      <c r="G130" s="23">
        <f>6181.5724</f>
        <v>6181.5724</v>
      </c>
      <c r="H130" s="23">
        <f>E130-G130</f>
        <v>8091.4276</v>
      </c>
      <c r="I130" s="23">
        <f>8102.0941</f>
        <v>8102.0941000000003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76.32715</f>
        <v>76.327150000000003</v>
      </c>
      <c r="H131" s="55">
        <f>E131-G131</f>
        <v>423.67284999999998</v>
      </c>
      <c r="I131" s="23">
        <f>155.28605</f>
        <v>155.28604999999999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52483</v>
      </c>
      <c r="F132" s="95">
        <f>18.737</f>
        <v>18.736999999999998</v>
      </c>
      <c r="G132" s="95">
        <f>16636.4948+7183.0032</f>
        <v>23819.498</v>
      </c>
      <c r="H132" s="95">
        <f>E132-G132</f>
        <v>28663.502</v>
      </c>
      <c r="I132" s="95">
        <f>38992.26618</f>
        <v>38992.266179999999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80329</v>
      </c>
      <c r="F133" s="94">
        <f>F134+F139+F142</f>
        <v>1171.6902200000002</v>
      </c>
      <c r="G133" s="94">
        <f t="shared" ref="G133" si="14">G134+G139+G142</f>
        <v>63499.936640000007</v>
      </c>
      <c r="H133" s="94">
        <f>H134+H139+H142</f>
        <v>16829.06336</v>
      </c>
      <c r="I133" s="94">
        <f>I134+I139+I142</f>
        <v>76096.19803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59251</v>
      </c>
      <c r="F134" s="125">
        <f>F135+F136+F137+F138</f>
        <v>1068.9314200000001</v>
      </c>
      <c r="G134" s="125">
        <f>G135+G136+G138+G137</f>
        <v>48024.792530000006</v>
      </c>
      <c r="H134" s="125">
        <f>H135+H136+H137+H138</f>
        <v>11226.207469999999</v>
      </c>
      <c r="I134" s="125">
        <f>I135+I136+I137+I138</f>
        <v>60269.910069999998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17770</v>
      </c>
      <c r="F135" s="127">
        <f>247.84976</f>
        <v>247.84976</v>
      </c>
      <c r="G135" s="127">
        <v>11024.174849999999</v>
      </c>
      <c r="H135" s="127">
        <f>E135-G135</f>
        <v>6745.8251500000006</v>
      </c>
      <c r="I135" s="127">
        <f>10746.98906</f>
        <v>10746.98906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14935</v>
      </c>
      <c r="F136" s="127">
        <f>347.91975</f>
        <v>347.91975000000002</v>
      </c>
      <c r="G136" s="127">
        <v>13604.546704999999</v>
      </c>
      <c r="H136" s="127">
        <f>E136-G136</f>
        <v>1330.4532950000012</v>
      </c>
      <c r="I136" s="127">
        <f>16207.77909</f>
        <v>16207.77909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13047</v>
      </c>
      <c r="F137" s="127">
        <f>126.19618</f>
        <v>126.19618</v>
      </c>
      <c r="G137" s="127">
        <v>12110.324185000001</v>
      </c>
      <c r="H137" s="127">
        <f>E137-G137</f>
        <v>936.67581499999869</v>
      </c>
      <c r="I137" s="127">
        <f>17911.54085</f>
        <v>17911.540850000001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13499</v>
      </c>
      <c r="F138" s="127">
        <f>346.96573</f>
        <v>346.96573000000001</v>
      </c>
      <c r="G138" s="127">
        <v>11285.746790000001</v>
      </c>
      <c r="H138" s="127">
        <f>E138-G138</f>
        <v>2213.2532099999989</v>
      </c>
      <c r="I138" s="127">
        <f>15403.60107</f>
        <v>15403.601070000001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8925</v>
      </c>
      <c r="F139" s="132">
        <f>SUM(F140:F141)</f>
        <v>2.0147599999999999</v>
      </c>
      <c r="G139" s="132">
        <f>SUM(G140:G141)</f>
        <v>8985.6916000000001</v>
      </c>
      <c r="H139" s="132">
        <f>H140+H141</f>
        <v>-60.69159999999971</v>
      </c>
      <c r="I139" s="132">
        <f>SUM(I140:I141)</f>
        <v>7664.3741999999993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8425</v>
      </c>
      <c r="F140" s="127">
        <f>0.08775</f>
        <v>8.7749999999999995E-2</v>
      </c>
      <c r="G140" s="127">
        <f>8529.80459</f>
        <v>8529.8045899999997</v>
      </c>
      <c r="H140" s="127">
        <f t="shared" ref="H140:H148" si="15">E140-G140</f>
        <v>-104.80458999999973</v>
      </c>
      <c r="I140" s="127">
        <f>7389.58174</f>
        <v>7389.5817399999996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1.92701</f>
        <v>1.9270099999999999</v>
      </c>
      <c r="G141" s="127">
        <f>455.88701</f>
        <v>455.88700999999998</v>
      </c>
      <c r="H141" s="127">
        <f t="shared" si="15"/>
        <v>44.112990000000025</v>
      </c>
      <c r="I141" s="127">
        <f>274.79246</f>
        <v>274.79246000000001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12153</v>
      </c>
      <c r="F142" s="75">
        <f>100.74404</f>
        <v>100.74404</v>
      </c>
      <c r="G142" s="75">
        <f>6489.45251</f>
        <v>6489.4525100000001</v>
      </c>
      <c r="H142" s="75">
        <f t="shared" si="15"/>
        <v>5663.5474899999999</v>
      </c>
      <c r="I142" s="75">
        <f>8161.91376</f>
        <v>8161.9137600000004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0.17955</f>
        <v>0.17954999999999999</v>
      </c>
      <c r="G143" s="139">
        <f>16.40105</f>
        <v>16.401050000000001</v>
      </c>
      <c r="H143" s="139">
        <f t="shared" si="15"/>
        <v>129.59895</v>
      </c>
      <c r="I143" s="139">
        <f>33.44728</f>
        <v>33.447279999999999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1.54194</f>
        <v>1.5419400000000001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0.327</f>
        <v>0.32700000000000001</v>
      </c>
      <c r="G147" s="98">
        <f>72.45681</f>
        <v>72.456810000000004</v>
      </c>
      <c r="H147" s="139">
        <f t="shared" si="15"/>
        <v>203.54318999999998</v>
      </c>
      <c r="I147" s="98">
        <f>28.66901</f>
        <v>28.66901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8.71</f>
        <v>8.7100000000000009</v>
      </c>
      <c r="G148" s="139">
        <f>283.59944</f>
        <v>283.59944000000002</v>
      </c>
      <c r="H148" s="139">
        <f t="shared" si="15"/>
        <v>-283.59944000000002</v>
      </c>
      <c r="I148" s="139">
        <f>545.21063</f>
        <v>545.21063000000004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208111</v>
      </c>
      <c r="F150" s="76">
        <f>F128+F132+F133+F143+F144+F145+F146+F147+F148</f>
        <v>2168.3611600000004</v>
      </c>
      <c r="G150" s="76">
        <f>G128+G132+G133+G143+G144+G145+G146+G147+G148</f>
        <v>146697.52377999996</v>
      </c>
      <c r="H150" s="76">
        <f>H128+H132+H133+H143+H144+H145+H146+H147+H148</f>
        <v>61413.476219999997</v>
      </c>
      <c r="I150" s="76">
        <f>I128+I132+I133+I143+I144+I145+I146+I147+I148</f>
        <v>183723.98071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18.75491</f>
        <v>18.754909999999999</v>
      </c>
      <c r="F175" s="276">
        <f>1321.00001</f>
        <v>1321.00001</v>
      </c>
      <c r="G175" s="43">
        <f>D175-F175-F176</f>
        <v>1273.1956600000003</v>
      </c>
      <c r="H175" s="276">
        <f>1996.39741</f>
        <v>1996.39741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60.12238</f>
        <v>60.12238</v>
      </c>
      <c r="F176" s="152">
        <f>1628.80433</f>
        <v>1628.8043299999999</v>
      </c>
      <c r="G176" s="217"/>
      <c r="H176" s="152">
        <f>1965.24771</f>
        <v>1965.2477100000001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0.0066</f>
        <v>6.6E-3</v>
      </c>
      <c r="F177" s="172">
        <f>125.68287</f>
        <v>125.68286999999999</v>
      </c>
      <c r="G177" s="172">
        <f>D177-F177</f>
        <v>74.317130000000006</v>
      </c>
      <c r="H177" s="172">
        <f>74.78946</f>
        <v>74.789460000000005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4.31365</v>
      </c>
      <c r="F178" s="181">
        <f>F179+F180+F181</f>
        <v>5985.7406899999996</v>
      </c>
      <c r="G178" s="181">
        <f>D178-F178</f>
        <v>348.25931000000037</v>
      </c>
      <c r="H178" s="181">
        <f>H179+H180+H181</f>
        <v>8178.8248999999996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0.45529</f>
        <v>0.45528999999999997</v>
      </c>
      <c r="F179" s="127">
        <f>3092.33051</f>
        <v>3092.3305099999998</v>
      </c>
      <c r="G179" s="127"/>
      <c r="H179" s="127">
        <f>4192.4377</f>
        <v>4192.4377000000004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1.88493</f>
        <v>1.88493</v>
      </c>
      <c r="F180" s="127">
        <f>1830.79551</f>
        <v>1830.7955099999999</v>
      </c>
      <c r="G180" s="127"/>
      <c r="H180" s="127">
        <f>2526.37337</f>
        <v>2526.3733699999998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1.97343</f>
        <v>1.97343</v>
      </c>
      <c r="F181" s="192">
        <f>1062.61467</f>
        <v>1062.6146699999999</v>
      </c>
      <c r="G181" s="192"/>
      <c r="H181" s="192">
        <f>1460.01383</f>
        <v>1460.0138300000001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83.197540000000004</v>
      </c>
      <c r="F184" s="194">
        <f>F175+F176+F177+F178+F182+F183</f>
        <v>9061.2278999999999</v>
      </c>
      <c r="G184" s="194">
        <f>D184-F184</f>
        <v>1761.7721000000001</v>
      </c>
      <c r="H184" s="194">
        <f>H175+H176+H177+H178+H182+H183</f>
        <v>12215.259480000001</v>
      </c>
      <c r="I184" s="163"/>
      <c r="J184" s="160"/>
    </row>
    <row r="185" spans="1:10" ht="42" customHeight="1" x14ac:dyDescent="0.3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542.78952</f>
        <v>542.78952000000004</v>
      </c>
      <c r="F204" s="124">
        <f>43190.48261</f>
        <v>43190.482609999999</v>
      </c>
      <c r="G204" s="124">
        <f>D204-F204</f>
        <v>3091.5173900000009</v>
      </c>
      <c r="H204" s="124">
        <f>41866.73321</f>
        <v>41866.733209999999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0.41036</f>
        <v>0.41036</v>
      </c>
      <c r="F205" s="124">
        <f>42.24845</f>
        <v>42.248449999999998</v>
      </c>
      <c r="G205" s="124">
        <f>D205-F205</f>
        <v>57.751550000000002</v>
      </c>
      <c r="H205" s="124">
        <f>67.58493</f>
        <v>67.58493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543.19988000000001</v>
      </c>
      <c r="F207" s="190">
        <f>SUM(F204:F206)</f>
        <v>43232.731059999998</v>
      </c>
      <c r="G207" s="190">
        <f>D207-F207</f>
        <v>3185.2689400000017</v>
      </c>
      <c r="H207" s="190">
        <f>SUM(H204:H206)</f>
        <v>41934.318139999996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121</v>
      </c>
      <c r="D249" s="124">
        <v>3987</v>
      </c>
      <c r="E249" s="75">
        <f>E250+E251</f>
        <v>21.279340000000001</v>
      </c>
      <c r="F249" s="75">
        <f>F250+F251</f>
        <v>4307.0577400000002</v>
      </c>
      <c r="G249" s="75">
        <f>D249-F249</f>
        <v>-320.05774000000019</v>
      </c>
      <c r="H249" s="75">
        <f>H250+H251</f>
        <v>4306.4247400000004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10.20592</f>
        <v>10.205920000000001</v>
      </c>
      <c r="F250" s="75">
        <f>3658.49233</f>
        <v>3658.49233</v>
      </c>
      <c r="G250" s="75"/>
      <c r="H250" s="75">
        <f>3627.40369</f>
        <v>3627.4036900000001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11.07342</f>
        <v>11.07342</v>
      </c>
      <c r="F251" s="124">
        <f>648.56541</f>
        <v>648.56541000000004</v>
      </c>
      <c r="G251" s="168"/>
      <c r="H251" s="124">
        <f>679.02105</f>
        <v>679.02104999999995</v>
      </c>
      <c r="I251" s="248"/>
      <c r="J251" s="120"/>
    </row>
    <row r="252" spans="1:10" ht="15" customHeight="1" x14ac:dyDescent="0.35">
      <c r="A252" s="1"/>
      <c r="B252" s="254"/>
      <c r="C252" s="90" t="s">
        <v>122</v>
      </c>
      <c r="D252" s="124">
        <v>4613</v>
      </c>
      <c r="E252" s="75">
        <f>27.52258</f>
        <v>27.522580000000001</v>
      </c>
      <c r="F252" s="75">
        <f>5455.16858</f>
        <v>5455.1685799999996</v>
      </c>
      <c r="G252" s="75">
        <f>D252-F252</f>
        <v>-842.16857999999957</v>
      </c>
      <c r="H252" s="75">
        <f>5590.48788</f>
        <v>5590.4878799999997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48.801920000000003</v>
      </c>
      <c r="F253" s="190">
        <f>SUM(F249,F252)</f>
        <v>9762.2263199999998</v>
      </c>
      <c r="G253" s="190">
        <f>D253-F253</f>
        <v>-1162.2263199999998</v>
      </c>
      <c r="H253" s="190">
        <f>SUM(H249,H252)</f>
        <v>9896.9126199999992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121</v>
      </c>
      <c r="D295" s="124">
        <v>5090</v>
      </c>
      <c r="E295" s="75">
        <f>E296+E297</f>
        <v>20.0501</v>
      </c>
      <c r="F295" s="75">
        <f>F296+F297</f>
        <v>5409.96227</v>
      </c>
      <c r="G295" s="75">
        <f>D295-F295</f>
        <v>-319.96226999999999</v>
      </c>
      <c r="H295" s="75">
        <f>H296+H297</f>
        <v>6079.2658199999996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18.56218</f>
        <v>18.562180000000001</v>
      </c>
      <c r="F296" s="75">
        <f>4865.48348</f>
        <v>4865.4834799999999</v>
      </c>
      <c r="G296" s="75"/>
      <c r="H296" s="75">
        <f>5562.97924</f>
        <v>5562.9792399999997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1.48792</f>
        <v>1.4879199999999999</v>
      </c>
      <c r="F297" s="124">
        <f>544.47879</f>
        <v>544.47879</v>
      </c>
      <c r="G297" s="168"/>
      <c r="H297" s="124">
        <f>516.28658</f>
        <v>516.28657999999996</v>
      </c>
      <c r="I297" s="248"/>
      <c r="J297" s="120"/>
    </row>
    <row r="298" spans="1:10" ht="15" customHeight="1" x14ac:dyDescent="0.35">
      <c r="A298" s="1"/>
      <c r="B298" s="254"/>
      <c r="C298" s="90" t="s">
        <v>122</v>
      </c>
      <c r="D298" s="124">
        <v>2981</v>
      </c>
      <c r="E298" s="75">
        <f>96.12328</f>
        <v>96.123279999999994</v>
      </c>
      <c r="F298" s="75">
        <f>3149.81745</f>
        <v>3149.81745</v>
      </c>
      <c r="G298" s="75">
        <f>D298-F298</f>
        <v>-168.81745000000001</v>
      </c>
      <c r="H298" s="75">
        <f>4000.31008</f>
        <v>4000.3100800000002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116.17337999999999</v>
      </c>
      <c r="F299" s="190">
        <f>SUM(F295,F298)</f>
        <v>8559.7797200000005</v>
      </c>
      <c r="G299" s="190">
        <f>D299-F299</f>
        <v>-488.77972000000045</v>
      </c>
      <c r="H299" s="190">
        <f>SUM(H295,H298)</f>
        <v>10079.5759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13.24572</f>
        <v>13.24572</v>
      </c>
      <c r="F350" s="124">
        <f>656.75412</f>
        <v>656.75411999999994</v>
      </c>
      <c r="G350" s="124">
        <f>D350-F350</f>
        <v>143.24588000000006</v>
      </c>
      <c r="H350" s="124">
        <f>581.12676</f>
        <v>581.12675999999999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4.49921</f>
        <v>4.4992099999999997</v>
      </c>
      <c r="F351" s="124">
        <f>2497.57901</f>
        <v>2497.5790099999999</v>
      </c>
      <c r="G351" s="124">
        <f>D351-F351</f>
        <v>543.42099000000007</v>
      </c>
      <c r="H351" s="124">
        <f>2781.16959</f>
        <v>2781.16959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3.78662</f>
        <v>3.7866200000000001</v>
      </c>
      <c r="G352" s="124">
        <f>D352-F352</f>
        <v>6.2133799999999999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0.44958</f>
        <v>0.44957999999999998</v>
      </c>
      <c r="F353" s="168">
        <f>2.52716</f>
        <v>2.5271599999999999</v>
      </c>
      <c r="G353" s="124">
        <f>D353-F353</f>
        <v>-2.5271599999999999</v>
      </c>
      <c r="H353" s="168">
        <f>1.81523</f>
        <v>1.8152299999999999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18.194510000000001</v>
      </c>
      <c r="F354" s="190">
        <f>SUM(F350:F353)</f>
        <v>3160.6469099999999</v>
      </c>
      <c r="G354" s="190">
        <f>D354-F354</f>
        <v>690.35309000000007</v>
      </c>
      <c r="H354" s="190">
        <f>H350+H351+H352+H353</f>
        <v>3366.85032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 t="s">
        <v>113</v>
      </c>
    </row>
    <row r="360" spans="1:10" ht="14.15" customHeight="1" x14ac:dyDescent="0.35">
      <c r="A360" s="1"/>
      <c r="C360" s="150" t="s">
        <v>113</v>
      </c>
    </row>
    <row r="361" spans="1:10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14.15" customHeight="1" x14ac:dyDescent="0.35">
      <c r="A363" s="1"/>
      <c r="C363" s="150" t="s">
        <v>113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452.44168000000002</v>
      </c>
      <c r="G380" s="253">
        <f t="shared" si="17"/>
        <v>19942.030500000001</v>
      </c>
      <c r="H380" s="253">
        <f>H384+H383+H382+H381</f>
        <v>3026.9694999999997</v>
      </c>
      <c r="I380" s="253">
        <f t="shared" si="17"/>
        <v>16865.734689999997</v>
      </c>
      <c r="J380" s="130"/>
    </row>
    <row r="381" spans="1:10" ht="14.15" customHeight="1" x14ac:dyDescent="0.35">
      <c r="A381" s="218"/>
      <c r="B381" s="72"/>
      <c r="C381" s="255" t="s">
        <v>103</v>
      </c>
      <c r="D381" s="256">
        <v>12051</v>
      </c>
      <c r="E381" s="256">
        <v>13190</v>
      </c>
      <c r="F381" s="257">
        <f>0</f>
        <v>0</v>
      </c>
      <c r="G381" s="257">
        <f>12916.89774</f>
        <v>12916.89774</v>
      </c>
      <c r="H381" s="257">
        <f t="shared" ref="H381:H385" si="18">E381-G381</f>
        <v>273.10225999999966</v>
      </c>
      <c r="I381" s="257">
        <f>10052.61508</f>
        <v>10052.61508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384.48</f>
        <v>384.48</v>
      </c>
      <c r="G382" s="257">
        <f>2382.55392</f>
        <v>2382.5539199999998</v>
      </c>
      <c r="H382" s="257">
        <f t="shared" si="18"/>
        <v>1050.4460800000002</v>
      </c>
      <c r="I382" s="257">
        <f>1599.53535</f>
        <v>1599.5353500000001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44.10888</f>
        <v>44.108879999999999</v>
      </c>
      <c r="G383" s="257">
        <f>2105.19753</f>
        <v>2105.1975299999999</v>
      </c>
      <c r="H383" s="257">
        <f t="shared" si="18"/>
        <v>-622.19752999999992</v>
      </c>
      <c r="I383" s="257">
        <f>2038.31196</f>
        <v>2038.31196</v>
      </c>
      <c r="J383" s="130"/>
    </row>
    <row r="384" spans="1:10" ht="14.15" customHeight="1" x14ac:dyDescent="0.35">
      <c r="A384" s="218"/>
      <c r="B384" s="72"/>
      <c r="C384" s="262" t="s">
        <v>141</v>
      </c>
      <c r="D384" s="263">
        <v>4867</v>
      </c>
      <c r="E384" s="263">
        <v>4863</v>
      </c>
      <c r="F384" s="257">
        <f>23.8528</f>
        <v>23.852799999999998</v>
      </c>
      <c r="G384" s="257">
        <f>2537.38131</f>
        <v>2537.3813100000002</v>
      </c>
      <c r="H384" s="257">
        <f t="shared" si="18"/>
        <v>2325.6186899999998</v>
      </c>
      <c r="I384" s="257">
        <f>3175.2723</f>
        <v>3175.2723000000001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102.976</f>
        <v>102.976</v>
      </c>
      <c r="G385" s="268">
        <f>2267.08378</f>
        <v>2267.0837799999999</v>
      </c>
      <c r="H385" s="268">
        <f t="shared" si="18"/>
        <v>3232.9162200000001</v>
      </c>
      <c r="I385" s="268">
        <f>5113.83428</f>
        <v>5113.83428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33.751359999999998</v>
      </c>
      <c r="G386" s="269">
        <f>G388+G387</f>
        <v>4043.3227099999999</v>
      </c>
      <c r="H386" s="269">
        <f>E386-G386</f>
        <v>3956.6772900000001</v>
      </c>
      <c r="I386" s="269">
        <f>I388+I387</f>
        <v>4622.4863000000005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3.4506</f>
        <v>3.4506000000000001</v>
      </c>
      <c r="G387" s="257">
        <f>1065.53427</f>
        <v>1065.5342700000001</v>
      </c>
      <c r="H387" s="257"/>
      <c r="I387" s="257">
        <f>863.37623</f>
        <v>863.37622999999996</v>
      </c>
      <c r="J387" s="130"/>
    </row>
    <row r="388" spans="1:10" ht="14.15" customHeight="1" x14ac:dyDescent="0.35">
      <c r="A388" s="218"/>
      <c r="B388" s="72"/>
      <c r="C388" s="273" t="s">
        <v>104</v>
      </c>
      <c r="D388" s="274"/>
      <c r="E388" s="277"/>
      <c r="F388" s="278">
        <f>30.30076</f>
        <v>30.30076</v>
      </c>
      <c r="G388" s="278">
        <f>2977.78844</f>
        <v>2977.7884399999998</v>
      </c>
      <c r="H388" s="278"/>
      <c r="I388" s="278">
        <f>3759.11007</f>
        <v>3759.1100700000002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0.1565</f>
        <v>0.1565</v>
      </c>
      <c r="H389" s="268">
        <f>E389-G389</f>
        <v>12.843500000000001</v>
      </c>
      <c r="I389" s="268">
        <f>0.7485</f>
        <v>0.74850000000000005</v>
      </c>
      <c r="J389" s="130"/>
    </row>
    <row r="390" spans="1:10" ht="14.15" customHeight="1" x14ac:dyDescent="0.35">
      <c r="A390" s="218"/>
      <c r="B390" s="72"/>
      <c r="C390" s="279" t="s">
        <v>105</v>
      </c>
      <c r="D390" s="282"/>
      <c r="E390" s="283"/>
      <c r="F390" s="268">
        <f>11.50884</f>
        <v>11.508839999999999</v>
      </c>
      <c r="G390" s="268">
        <f>125.41024</f>
        <v>125.41024</v>
      </c>
      <c r="H390" s="268">
        <f>E390-G390</f>
        <v>-125.41024</v>
      </c>
      <c r="I390" s="268">
        <f>124.30213</f>
        <v>124.30213000000001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600.67787999999996</v>
      </c>
      <c r="G391" s="287">
        <f t="shared" si="19"/>
        <v>26378.003730000004</v>
      </c>
      <c r="H391" s="287">
        <f>H380+H385+H386+H389+H390</f>
        <v>10103.996270000001</v>
      </c>
      <c r="I391" s="287">
        <f t="shared" si="19"/>
        <v>26727.105899999999</v>
      </c>
      <c r="J391" s="130"/>
    </row>
    <row r="392" spans="1:10" ht="14.15" customHeight="1" x14ac:dyDescent="0.3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113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1" t="s">
        <v>138</v>
      </c>
      <c r="D407" s="301"/>
      <c r="E407" s="301"/>
      <c r="F407" s="301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110</v>
      </c>
      <c r="D413" s="204">
        <v>894</v>
      </c>
      <c r="E413" s="26">
        <f>SUM(E414:E415)</f>
        <v>0</v>
      </c>
      <c r="F413" s="26">
        <f>SUM(F414:F415)</f>
        <v>1023.95488</v>
      </c>
      <c r="G413" s="85">
        <f>D413-F413</f>
        <v>-129.95488</v>
      </c>
      <c r="H413" s="26">
        <f>SUM(H414:H415)</f>
        <v>988.40122999999994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0</f>
        <v>0</v>
      </c>
      <c r="F414" s="205">
        <f>779.76008</f>
        <v>779.76008000000002</v>
      </c>
      <c r="G414" s="206"/>
      <c r="H414" s="205">
        <f>753.71223</f>
        <v>753.71222999999998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0</f>
        <v>0</v>
      </c>
      <c r="F415" s="208">
        <f>244.1948</f>
        <v>244.19479999999999</v>
      </c>
      <c r="G415" s="209"/>
      <c r="H415" s="208">
        <f>234.689</f>
        <v>234.68899999999999</v>
      </c>
      <c r="I415" s="150"/>
      <c r="J415" s="130"/>
    </row>
    <row r="416" spans="1:10" ht="14.15" customHeight="1" x14ac:dyDescent="0.35">
      <c r="A416" s="218"/>
      <c r="B416" s="72"/>
      <c r="C416" s="265" t="s">
        <v>111</v>
      </c>
      <c r="D416" s="10">
        <v>894</v>
      </c>
      <c r="E416" s="26">
        <f>SUM(E417:E418)</f>
        <v>55.590500000000006</v>
      </c>
      <c r="F416" s="26">
        <f>SUM(F417:F418)</f>
        <v>136.96459999999999</v>
      </c>
      <c r="G416" s="85">
        <f>D416-F416</f>
        <v>757.03539999999998</v>
      </c>
      <c r="H416" s="26">
        <f>SUM(H417:H418)</f>
        <v>157.1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38.502</f>
        <v>38.502000000000002</v>
      </c>
      <c r="F417" s="30">
        <f>95.1725</f>
        <v>95.172499999999999</v>
      </c>
      <c r="G417" s="97"/>
      <c r="H417" s="30">
        <f>108.8925</f>
        <v>108.8925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17.0885</f>
        <v>17.0885</v>
      </c>
      <c r="F418" s="30">
        <f>41.7921</f>
        <v>41.792099999999998</v>
      </c>
      <c r="G418" s="108"/>
      <c r="H418" s="30">
        <f>48.2075</f>
        <v>48.207500000000003</v>
      </c>
      <c r="I418" s="150"/>
      <c r="J418" s="130"/>
    </row>
    <row r="419" spans="1:10" ht="14.15" customHeight="1" x14ac:dyDescent="0.3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55.590500000000006</v>
      </c>
      <c r="F423" s="40">
        <f>F413+F416+F419+F422</f>
        <v>1160.91948</v>
      </c>
      <c r="G423" s="41">
        <f>D423-F423</f>
        <v>1520.08052</v>
      </c>
      <c r="H423" s="40">
        <f>H413+H416+H419+H422</f>
        <v>1145.5012299999999</v>
      </c>
      <c r="I423" s="27"/>
      <c r="J423" s="130"/>
    </row>
    <row r="424" spans="1:10" ht="42" customHeight="1" x14ac:dyDescent="0.35">
      <c r="A424" s="218"/>
      <c r="B424" s="72"/>
      <c r="C424" s="292" t="s">
        <v>117</v>
      </c>
      <c r="D424" s="292"/>
      <c r="E424" s="292"/>
      <c r="F424" s="292"/>
      <c r="G424" s="292"/>
      <c r="H424" s="292"/>
      <c r="I424" s="292"/>
      <c r="J424" s="293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46&amp;R18.11.2024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2024-11-18T08:58:34Z</dcterms:modified>
</cp:coreProperties>
</file>