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Downloads\"/>
    </mc:Choice>
  </mc:AlternateContent>
  <xr:revisionPtr revIDLastSave="0" documentId="8_{039E116F-C886-4145-B20F-EBA24BDFDC51}" xr6:coauthVersionLast="47" xr6:coauthVersionMax="47" xr10:uidLastSave="{00000000-0000-0000-0000-000000000000}"/>
  <bookViews>
    <workbookView xWindow="1170" yWindow="1170" windowWidth="21600" windowHeight="12735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ukesstatistikk!$B$1:$J$424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D422" i="1"/>
  <c r="H421" i="1"/>
  <c r="G421" i="1"/>
  <c r="F421" i="1"/>
  <c r="E421" i="1"/>
  <c r="H420" i="1"/>
  <c r="F420" i="1"/>
  <c r="E420" i="1"/>
  <c r="H419" i="1"/>
  <c r="F419" i="1"/>
  <c r="E419" i="1"/>
  <c r="H418" i="1"/>
  <c r="F418" i="1"/>
  <c r="G418" i="1" s="1"/>
  <c r="E418" i="1"/>
  <c r="H417" i="1"/>
  <c r="F417" i="1"/>
  <c r="E417" i="1"/>
  <c r="H416" i="1"/>
  <c r="F416" i="1"/>
  <c r="F415" i="1" s="1"/>
  <c r="G415" i="1" s="1"/>
  <c r="E416" i="1"/>
  <c r="H415" i="1"/>
  <c r="E415" i="1"/>
  <c r="H414" i="1"/>
  <c r="F414" i="1"/>
  <c r="E414" i="1"/>
  <c r="H413" i="1"/>
  <c r="F413" i="1"/>
  <c r="F412" i="1" s="1"/>
  <c r="E413" i="1"/>
  <c r="E412" i="1" s="1"/>
  <c r="E422" i="1" s="1"/>
  <c r="H412" i="1"/>
  <c r="H422" i="1" s="1"/>
  <c r="D390" i="1"/>
  <c r="I389" i="1"/>
  <c r="G389" i="1"/>
  <c r="H389" i="1" s="1"/>
  <c r="F389" i="1"/>
  <c r="I388" i="1"/>
  <c r="G388" i="1"/>
  <c r="H388" i="1" s="1"/>
  <c r="F388" i="1"/>
  <c r="I387" i="1"/>
  <c r="I385" i="1" s="1"/>
  <c r="G387" i="1"/>
  <c r="F387" i="1"/>
  <c r="F385" i="1" s="1"/>
  <c r="I386" i="1"/>
  <c r="G386" i="1"/>
  <c r="G385" i="1" s="1"/>
  <c r="H385" i="1" s="1"/>
  <c r="F386" i="1"/>
  <c r="I384" i="1"/>
  <c r="G384" i="1"/>
  <c r="H384" i="1" s="1"/>
  <c r="F384" i="1"/>
  <c r="I383" i="1"/>
  <c r="G383" i="1"/>
  <c r="H383" i="1" s="1"/>
  <c r="F383" i="1"/>
  <c r="I382" i="1"/>
  <c r="I379" i="1" s="1"/>
  <c r="G382" i="1"/>
  <c r="H382" i="1" s="1"/>
  <c r="F382" i="1"/>
  <c r="I381" i="1"/>
  <c r="G381" i="1"/>
  <c r="H381" i="1" s="1"/>
  <c r="F381" i="1"/>
  <c r="I380" i="1"/>
  <c r="G380" i="1"/>
  <c r="H380" i="1" s="1"/>
  <c r="F380" i="1"/>
  <c r="F379" i="1"/>
  <c r="E379" i="1"/>
  <c r="E390" i="1" s="1"/>
  <c r="D379" i="1"/>
  <c r="H371" i="1"/>
  <c r="F371" i="1"/>
  <c r="D368" i="1"/>
  <c r="D367" i="1"/>
  <c r="E353" i="1"/>
  <c r="D353" i="1"/>
  <c r="H352" i="1"/>
  <c r="G352" i="1"/>
  <c r="F352" i="1"/>
  <c r="E352" i="1"/>
  <c r="H351" i="1"/>
  <c r="F351" i="1"/>
  <c r="G351" i="1" s="1"/>
  <c r="E351" i="1"/>
  <c r="H350" i="1"/>
  <c r="G350" i="1"/>
  <c r="F350" i="1"/>
  <c r="E350" i="1"/>
  <c r="H349" i="1"/>
  <c r="H353" i="1" s="1"/>
  <c r="F349" i="1"/>
  <c r="G349" i="1" s="1"/>
  <c r="E349" i="1"/>
  <c r="D342" i="1"/>
  <c r="D298" i="1"/>
  <c r="H297" i="1"/>
  <c r="G297" i="1"/>
  <c r="F297" i="1"/>
  <c r="E297" i="1"/>
  <c r="H296" i="1"/>
  <c r="F296" i="1"/>
  <c r="E296" i="1"/>
  <c r="H295" i="1"/>
  <c r="H294" i="1" s="1"/>
  <c r="H298" i="1" s="1"/>
  <c r="F295" i="1"/>
  <c r="F294" i="1" s="1"/>
  <c r="E295" i="1"/>
  <c r="E294" i="1" s="1"/>
  <c r="E298" i="1" s="1"/>
  <c r="D252" i="1"/>
  <c r="H251" i="1"/>
  <c r="F251" i="1"/>
  <c r="G251" i="1" s="1"/>
  <c r="E251" i="1"/>
  <c r="H250" i="1"/>
  <c r="H248" i="1" s="1"/>
  <c r="H252" i="1" s="1"/>
  <c r="F250" i="1"/>
  <c r="F248" i="1" s="1"/>
  <c r="E250" i="1"/>
  <c r="E248" i="1" s="1"/>
  <c r="E252" i="1" s="1"/>
  <c r="H249" i="1"/>
  <c r="F249" i="1"/>
  <c r="E249" i="1"/>
  <c r="H206" i="1"/>
  <c r="D206" i="1"/>
  <c r="G206" i="1" s="1"/>
  <c r="H205" i="1"/>
  <c r="F205" i="1"/>
  <c r="G205" i="1" s="1"/>
  <c r="E205" i="1"/>
  <c r="H204" i="1"/>
  <c r="G204" i="1"/>
  <c r="F204" i="1"/>
  <c r="E204" i="1"/>
  <c r="H203" i="1"/>
  <c r="F203" i="1"/>
  <c r="F206" i="1" s="1"/>
  <c r="E203" i="1"/>
  <c r="E206" i="1" s="1"/>
  <c r="D183" i="1"/>
  <c r="H182" i="1"/>
  <c r="F182" i="1"/>
  <c r="G182" i="1" s="1"/>
  <c r="E182" i="1"/>
  <c r="H181" i="1"/>
  <c r="F181" i="1"/>
  <c r="G181" i="1" s="1"/>
  <c r="E181" i="1"/>
  <c r="H180" i="1"/>
  <c r="F180" i="1"/>
  <c r="E180" i="1"/>
  <c r="H179" i="1"/>
  <c r="F179" i="1"/>
  <c r="E179" i="1"/>
  <c r="H178" i="1"/>
  <c r="F178" i="1"/>
  <c r="F177" i="1" s="1"/>
  <c r="G177" i="1" s="1"/>
  <c r="E178" i="1"/>
  <c r="E177" i="1" s="1"/>
  <c r="H177" i="1"/>
  <c r="H176" i="1"/>
  <c r="G176" i="1"/>
  <c r="F176" i="1"/>
  <c r="E176" i="1"/>
  <c r="H175" i="1"/>
  <c r="F175" i="1"/>
  <c r="E175" i="1"/>
  <c r="H174" i="1"/>
  <c r="H183" i="1" s="1"/>
  <c r="F174" i="1"/>
  <c r="E174" i="1"/>
  <c r="I147" i="1"/>
  <c r="G147" i="1"/>
  <c r="H147" i="1" s="1"/>
  <c r="F147" i="1"/>
  <c r="I146" i="1"/>
  <c r="G146" i="1"/>
  <c r="H146" i="1" s="1"/>
  <c r="F146" i="1"/>
  <c r="H145" i="1"/>
  <c r="I144" i="1"/>
  <c r="G144" i="1"/>
  <c r="H144" i="1" s="1"/>
  <c r="F144" i="1"/>
  <c r="I143" i="1"/>
  <c r="H143" i="1"/>
  <c r="G143" i="1"/>
  <c r="F143" i="1"/>
  <c r="I142" i="1"/>
  <c r="G142" i="1"/>
  <c r="H142" i="1" s="1"/>
  <c r="F142" i="1"/>
  <c r="I141" i="1"/>
  <c r="H141" i="1"/>
  <c r="G141" i="1"/>
  <c r="F141" i="1"/>
  <c r="I140" i="1"/>
  <c r="G140" i="1"/>
  <c r="H140" i="1" s="1"/>
  <c r="H138" i="1" s="1"/>
  <c r="F140" i="1"/>
  <c r="I139" i="1"/>
  <c r="H139" i="1"/>
  <c r="G139" i="1"/>
  <c r="F139" i="1"/>
  <c r="I138" i="1"/>
  <c r="G138" i="1"/>
  <c r="F138" i="1"/>
  <c r="E138" i="1"/>
  <c r="D138" i="1"/>
  <c r="I137" i="1"/>
  <c r="H137" i="1"/>
  <c r="G137" i="1"/>
  <c r="F137" i="1"/>
  <c r="I136" i="1"/>
  <c r="H136" i="1"/>
  <c r="G136" i="1"/>
  <c r="F136" i="1"/>
  <c r="I135" i="1"/>
  <c r="H135" i="1"/>
  <c r="G135" i="1"/>
  <c r="F135" i="1"/>
  <c r="I134" i="1"/>
  <c r="I133" i="1" s="1"/>
  <c r="I132" i="1" s="1"/>
  <c r="H134" i="1"/>
  <c r="H133" i="1" s="1"/>
  <c r="H132" i="1" s="1"/>
  <c r="G134" i="1"/>
  <c r="F134" i="1"/>
  <c r="G133" i="1"/>
  <c r="G132" i="1" s="1"/>
  <c r="F133" i="1"/>
  <c r="F132" i="1" s="1"/>
  <c r="E133" i="1"/>
  <c r="E132" i="1" s="1"/>
  <c r="E149" i="1" s="1"/>
  <c r="D133" i="1"/>
  <c r="D132" i="1" s="1"/>
  <c r="I131" i="1"/>
  <c r="H131" i="1"/>
  <c r="G131" i="1"/>
  <c r="F131" i="1"/>
  <c r="I130" i="1"/>
  <c r="H130" i="1"/>
  <c r="G130" i="1"/>
  <c r="F130" i="1"/>
  <c r="I129" i="1"/>
  <c r="H129" i="1"/>
  <c r="H127" i="1" s="1"/>
  <c r="G129" i="1"/>
  <c r="F129" i="1"/>
  <c r="I128" i="1"/>
  <c r="H128" i="1"/>
  <c r="G128" i="1"/>
  <c r="G127" i="1" s="1"/>
  <c r="G149" i="1" s="1"/>
  <c r="F128" i="1"/>
  <c r="F127" i="1" s="1"/>
  <c r="I127" i="1"/>
  <c r="I149" i="1" s="1"/>
  <c r="E127" i="1"/>
  <c r="D127" i="1"/>
  <c r="D149" i="1" s="1"/>
  <c r="C125" i="1"/>
  <c r="I105" i="1"/>
  <c r="G105" i="1"/>
  <c r="H105" i="1" s="1"/>
  <c r="F105" i="1"/>
  <c r="I104" i="1"/>
  <c r="G104" i="1"/>
  <c r="H104" i="1" s="1"/>
  <c r="F104" i="1"/>
  <c r="I103" i="1"/>
  <c r="G103" i="1"/>
  <c r="H103" i="1" s="1"/>
  <c r="F103" i="1"/>
  <c r="I102" i="1"/>
  <c r="G102" i="1"/>
  <c r="H102" i="1" s="1"/>
  <c r="F102" i="1"/>
  <c r="I101" i="1"/>
  <c r="G101" i="1"/>
  <c r="H101" i="1" s="1"/>
  <c r="F101" i="1"/>
  <c r="I100" i="1"/>
  <c r="G100" i="1"/>
  <c r="H100" i="1" s="1"/>
  <c r="F100" i="1"/>
  <c r="I99" i="1"/>
  <c r="G99" i="1"/>
  <c r="H99" i="1" s="1"/>
  <c r="F99" i="1"/>
  <c r="I98" i="1"/>
  <c r="G98" i="1"/>
  <c r="H98" i="1" s="1"/>
  <c r="F98" i="1"/>
  <c r="I97" i="1"/>
  <c r="G97" i="1"/>
  <c r="G95" i="1" s="1"/>
  <c r="G94" i="1" s="1"/>
  <c r="F97" i="1"/>
  <c r="I96" i="1"/>
  <c r="I95" i="1" s="1"/>
  <c r="I94" i="1" s="1"/>
  <c r="G96" i="1"/>
  <c r="H96" i="1" s="1"/>
  <c r="F96" i="1"/>
  <c r="F95" i="1"/>
  <c r="F94" i="1" s="1"/>
  <c r="E95" i="1"/>
  <c r="E94" i="1" s="1"/>
  <c r="D95" i="1"/>
  <c r="D94" i="1"/>
  <c r="I93" i="1"/>
  <c r="I91" i="1" s="1"/>
  <c r="I106" i="1" s="1"/>
  <c r="G93" i="1"/>
  <c r="H93" i="1" s="1"/>
  <c r="F93" i="1"/>
  <c r="I92" i="1"/>
  <c r="G92" i="1"/>
  <c r="G91" i="1" s="1"/>
  <c r="F92" i="1"/>
  <c r="F91" i="1" s="1"/>
  <c r="F106" i="1" s="1"/>
  <c r="E91" i="1"/>
  <c r="D91" i="1"/>
  <c r="D106" i="1" s="1"/>
  <c r="C88" i="1"/>
  <c r="H84" i="1"/>
  <c r="F84" i="1"/>
  <c r="D84" i="1"/>
  <c r="H60" i="1"/>
  <c r="H59" i="1"/>
  <c r="I54" i="1"/>
  <c r="G54" i="1"/>
  <c r="G32" i="1" s="1"/>
  <c r="H32" i="1" s="1"/>
  <c r="F54" i="1"/>
  <c r="F32" i="1" s="1"/>
  <c r="I42" i="1"/>
  <c r="G42" i="1"/>
  <c r="H42" i="1" s="1"/>
  <c r="F42" i="1"/>
  <c r="I41" i="1"/>
  <c r="G41" i="1"/>
  <c r="H41" i="1" s="1"/>
  <c r="F41" i="1"/>
  <c r="I40" i="1"/>
  <c r="G40" i="1"/>
  <c r="H40" i="1" s="1"/>
  <c r="F40" i="1"/>
  <c r="I39" i="1"/>
  <c r="G39" i="1"/>
  <c r="H39" i="1" s="1"/>
  <c r="F39" i="1"/>
  <c r="I38" i="1"/>
  <c r="G38" i="1"/>
  <c r="H38" i="1" s="1"/>
  <c r="F38" i="1"/>
  <c r="I37" i="1"/>
  <c r="G37" i="1"/>
  <c r="H37" i="1" s="1"/>
  <c r="F37" i="1"/>
  <c r="I36" i="1"/>
  <c r="I34" i="1" s="1"/>
  <c r="G36" i="1"/>
  <c r="H36" i="1" s="1"/>
  <c r="F36" i="1"/>
  <c r="G35" i="1"/>
  <c r="H35" i="1" s="1"/>
  <c r="F35" i="1"/>
  <c r="F34" i="1" s="1"/>
  <c r="E34" i="1"/>
  <c r="D34" i="1"/>
  <c r="I33" i="1"/>
  <c r="G33" i="1"/>
  <c r="H33" i="1" s="1"/>
  <c r="F33" i="1"/>
  <c r="I32" i="1"/>
  <c r="I31" i="1"/>
  <c r="G31" i="1"/>
  <c r="H31" i="1" s="1"/>
  <c r="F31" i="1"/>
  <c r="I30" i="1"/>
  <c r="G30" i="1"/>
  <c r="H30" i="1" s="1"/>
  <c r="F30" i="1"/>
  <c r="I29" i="1"/>
  <c r="G29" i="1"/>
  <c r="F29" i="1"/>
  <c r="F27" i="1" s="1"/>
  <c r="I28" i="1"/>
  <c r="I27" i="1" s="1"/>
  <c r="G28" i="1"/>
  <c r="H28" i="1" s="1"/>
  <c r="F28" i="1"/>
  <c r="E27" i="1"/>
  <c r="E26" i="1" s="1"/>
  <c r="D27" i="1"/>
  <c r="D26" i="1"/>
  <c r="I25" i="1"/>
  <c r="I23" i="1" s="1"/>
  <c r="G25" i="1"/>
  <c r="H25" i="1" s="1"/>
  <c r="H23" i="1" s="1"/>
  <c r="F25" i="1"/>
  <c r="I24" i="1"/>
  <c r="G24" i="1"/>
  <c r="H24" i="1" s="1"/>
  <c r="F24" i="1"/>
  <c r="F23" i="1" s="1"/>
  <c r="E23" i="1"/>
  <c r="E43" i="1" s="1"/>
  <c r="D23" i="1"/>
  <c r="D43" i="1" s="1"/>
  <c r="H16" i="1"/>
  <c r="F16" i="1"/>
  <c r="D16" i="1"/>
  <c r="G27" i="1" l="1"/>
  <c r="E106" i="1"/>
  <c r="H379" i="1"/>
  <c r="H390" i="1" s="1"/>
  <c r="G106" i="1"/>
  <c r="E183" i="1"/>
  <c r="F43" i="1"/>
  <c r="I26" i="1"/>
  <c r="I43" i="1" s="1"/>
  <c r="H149" i="1"/>
  <c r="F183" i="1"/>
  <c r="H95" i="1"/>
  <c r="H94" i="1" s="1"/>
  <c r="G183" i="1"/>
  <c r="G294" i="1"/>
  <c r="F298" i="1"/>
  <c r="F422" i="1"/>
  <c r="G422" i="1" s="1"/>
  <c r="G412" i="1"/>
  <c r="F149" i="1"/>
  <c r="F252" i="1"/>
  <c r="G252" i="1" s="1"/>
  <c r="G248" i="1"/>
  <c r="G298" i="1"/>
  <c r="G353" i="1"/>
  <c r="F390" i="1"/>
  <c r="F26" i="1"/>
  <c r="I390" i="1"/>
  <c r="G34" i="1"/>
  <c r="G203" i="1"/>
  <c r="H29" i="1"/>
  <c r="H27" i="1" s="1"/>
  <c r="H54" i="1"/>
  <c r="H92" i="1"/>
  <c r="H91" i="1" s="1"/>
  <c r="H106" i="1" s="1"/>
  <c r="H97" i="1"/>
  <c r="F353" i="1"/>
  <c r="G379" i="1"/>
  <c r="G390" i="1" s="1"/>
  <c r="G174" i="1"/>
  <c r="G23" i="1"/>
  <c r="H34" i="1" l="1"/>
  <c r="H26" i="1" s="1"/>
  <c r="H43" i="1" s="1"/>
  <c r="G26" i="1"/>
  <c r="G43" i="1" s="1"/>
</calcChain>
</file>

<file path=xl/sharedStrings.xml><?xml version="1.0" encoding="utf-8"?>
<sst xmlns="http://schemas.openxmlformats.org/spreadsheetml/2006/main" count="357" uniqueCount="149">
  <si>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</si>
  <si>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</si>
  <si>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</si>
  <si>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</si>
  <si>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</si>
  <si>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</si>
  <si>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</si>
  <si>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</si>
  <si>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</si>
  <si>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</si>
  <si>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</si>
  <si>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</si>
  <si>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</si>
  <si>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</si>
  <si>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</si>
  <si>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</si>
  <si>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</si>
  <si>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</si>
  <si>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</si>
  <si>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</si>
  <si>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</si>
  <si>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</si>
  <si>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</si>
  <si>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</si>
  <si>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</si>
  <si>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</si>
  <si>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</si>
  <si>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</si>
  <si>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</si>
  <si>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</si>
  <si>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</si>
  <si>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</si>
  <si>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</si>
  <si>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</si>
  <si>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</si>
  <si>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</si>
  <si>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</si>
  <si>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</si>
  <si>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</si>
  <si>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</si>
  <si>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</si>
  <si>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</si>
  <si>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</si>
  <si>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</si>
  <si>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</si>
  <si>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</si>
  <si>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</si>
  <si>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</si>
  <si>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</si>
  <si>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</si>
  <si>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</si>
  <si>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</si>
  <si>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</si>
  <si>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</si>
  <si>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</si>
  <si>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</si>
  <si>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</si>
  <si>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</si>
  <si>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</si>
  <si>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</si>
  <si>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</si>
  <si>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</si>
  <si>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</si>
  <si>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</si>
  <si>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</si>
  <si>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</si>
  <si>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</si>
  <si>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</si>
  <si>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</si>
  <si>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</si>
  <si>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</si>
  <si>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</si>
  <si>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</si>
  <si>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</si>
  <si>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</si>
  <si>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</si>
  <si>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</si>
  <si>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</si>
  <si>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</si>
  <si>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</si>
  <si>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</si>
  <si>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</si>
  <si>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</si>
  <si>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</si>
  <si>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</si>
  <si>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</si>
  <si>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</si>
  <si>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</si>
  <si>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</si>
  <si>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</si>
  <si>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</si>
  <si>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</si>
  <si>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</si>
  <si>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</si>
  <si>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</si>
  <si>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</si>
  <si>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</si>
  <si>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</si>
  <si>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</si>
  <si>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</si>
  <si>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</si>
  <si>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</si>
  <si>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</si>
  <si>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</si>
  <si>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</si>
  <si>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</si>
  <si>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</si>
  <si>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</si>
  <si>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</si>
  <si>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</si>
  <si>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</si>
  <si>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</si>
  <si>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</si>
  <si>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</si>
  <si>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</si>
  <si>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</si>
  <si>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</si>
  <si>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</si>
  <si>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</si>
  <si>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</si>
  <si>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</si>
  <si>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</si>
  <si>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</si>
  <si>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t>FANGST AV TORSK, HYSE, SEI, BLÅKVEITE, SNABELUER, LANGE, BROSME OG REKER I 2025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</si>
  <si>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3 093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</si>
  <si>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30.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</si>
  <si>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1 132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</si>
  <si>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146 tonn til forsknings- og undervisningskvoter, 2 000 tonn til fangst innenfor ungdomsfiskeordningen og rekreasjonsfiske, 350 tonn til agnformål og 1 771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</si>
  <si>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458 tonn avsatt til rekrutteringsordningen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</si>
  <si>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</si>
  <si>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</si>
  <si>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 Kvoter justert for kvotefleksibilitet, dvs. kvoteoverføringer fra 2024, disse vil være ferdigstilt ila februar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</si>
  <si>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2024, disse vil være ferdigstilt ila februar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</si>
  <si>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</si>
  <si>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5 142 tonn, periodekvote andre periode: 0 tonn, bifangstavsetning: 500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</si>
  <si>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36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</si>
  <si>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14 094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</si>
  <si>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2 755 tonn i Fiskevernsonen ved Svalbard og 3 964 tonn i internasjonalt farvann i Norskehavet. I tillegg er det avsatt 1 000 tonn snabeluer til EU-fartøys fiske. 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</si>
  <si>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2024, disse vil være ferdigstilt ila februar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</si>
  <si>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</si>
  <si>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</si>
  <si>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t>2 Registrert rekreasjonsfiske utgjør 6 tonn, men det legges til grunn at hele avsetningen tas</t>
  </si>
  <si>
    <t>4 Registrert rekreasjonsfiske utgjør 27 tonn, men det legges til grunn at hele avsetningen tas</t>
  </si>
  <si>
    <t>3 Registrert rekreasjonsfiske utgjør 64 tonn, men det legges til grunn at hele avsetningen tas</t>
  </si>
  <si>
    <t>FANGST UKE 7</t>
  </si>
  <si>
    <t>FANGST T.O.M UKE 7</t>
  </si>
  <si>
    <t>RESTKVOTER UKE 7</t>
  </si>
  <si>
    <t>FANGST T.O.M UKE 7 2024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</si>
  <si>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0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</si>
</sst>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8"/>
      <color theme="1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27" fillId="0" borderId="0" xfId="0" applyFont="1"/>
    <xf numFmtId="0" fontId="28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3" fillId="0" borderId="33" xfId="0" applyFont="1" applyBorder="1" applyAlignment="1">
      <alignment horizontal="left" vertical="top" wrapText="1"/>
    </xf>
    <xf numFmtId="0" fontId="29" fillId="0" borderId="47" xfId="0" applyFont="1" applyBorder="1" applyAlignment="1">
      <alignment horizontal="center" vertical="center"/>
    </xf>
    <xf numFmtId="0" fontId="29" fillId="0" borderId="48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50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609"/>
  <sheetViews>
    <sheetView showGridLines="0" tabSelected="1" showRuler="0" view="pageLayout" topLeftCell="A377" zoomScale="103" zoomScaleNormal="85" zoomScaleSheetLayoutView="100" zoomScalePageLayoutView="103" workbookViewId="0">
      <selection activeCell="G137" sqref="G137"/>
    </sheetView>
  </sheetViews>
  <sheetFormatPr baseColWidth="10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3" t="s">
        <v>123</v>
      </c>
      <c r="C2" s="294"/>
      <c r="D2" s="294"/>
      <c r="E2" s="294"/>
      <c r="F2" s="294"/>
      <c r="G2" s="294"/>
      <c r="H2" s="294"/>
      <c r="I2" s="294"/>
      <c r="J2" s="295"/>
    </row>
    <row r="3" spans="1:10" ht="14.85" customHeight="1" x14ac:dyDescent="0.25">
      <c r="A3" s="1"/>
      <c r="B3" s="1"/>
      <c r="C3" s="1" t="s">
        <v>112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112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112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112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112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9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296"/>
      <c r="C9" s="297"/>
      <c r="D9" s="297"/>
      <c r="E9" s="297"/>
      <c r="F9" s="297"/>
      <c r="G9" s="297"/>
      <c r="H9" s="297"/>
      <c r="I9" s="297"/>
      <c r="J9" s="298"/>
    </row>
    <row r="10" spans="1:10" ht="12" customHeight="1" x14ac:dyDescent="0.25">
      <c r="A10" s="1"/>
      <c r="B10" s="254"/>
      <c r="C10" s="1"/>
      <c r="D10" s="1"/>
      <c r="E10" s="1"/>
      <c r="F10" s="1"/>
      <c r="G10" s="1"/>
      <c r="H10" s="1"/>
      <c r="I10" s="1"/>
      <c r="J10" s="120"/>
    </row>
    <row r="11" spans="1:10" ht="14.1" customHeight="1" x14ac:dyDescent="0.25">
      <c r="A11" s="156"/>
      <c r="B11" s="52"/>
      <c r="C11" s="299" t="s">
        <v>1</v>
      </c>
      <c r="D11" s="300"/>
      <c r="E11" s="299" t="s">
        <v>2</v>
      </c>
      <c r="F11" s="300"/>
      <c r="G11" s="299" t="s">
        <v>3</v>
      </c>
      <c r="H11" s="300"/>
      <c r="I11" s="178"/>
      <c r="J11" s="244"/>
    </row>
    <row r="12" spans="1:10" ht="14.1" customHeight="1" x14ac:dyDescent="0.25">
      <c r="A12" s="1"/>
      <c r="B12" s="254"/>
      <c r="C12" s="99"/>
      <c r="D12" s="99"/>
      <c r="E12" s="99" t="s">
        <v>4</v>
      </c>
      <c r="F12" s="114">
        <v>38668</v>
      </c>
      <c r="G12" s="115" t="s">
        <v>5</v>
      </c>
      <c r="H12" s="114">
        <v>12624</v>
      </c>
      <c r="I12" s="178"/>
      <c r="J12" s="244"/>
    </row>
    <row r="13" spans="1:10" ht="15.75" customHeight="1" x14ac:dyDescent="0.25">
      <c r="A13" s="1"/>
      <c r="B13" s="254"/>
      <c r="C13" s="115" t="s">
        <v>6</v>
      </c>
      <c r="D13" s="117">
        <v>163436</v>
      </c>
      <c r="E13" s="115" t="s">
        <v>7</v>
      </c>
      <c r="F13" s="117">
        <v>109370</v>
      </c>
      <c r="G13" s="115" t="s">
        <v>8</v>
      </c>
      <c r="H13" s="117">
        <v>78055</v>
      </c>
      <c r="I13" s="178"/>
      <c r="J13" s="244"/>
    </row>
    <row r="14" spans="1:10" ht="14.25" customHeight="1" x14ac:dyDescent="0.25">
      <c r="A14" s="1"/>
      <c r="B14" s="254"/>
      <c r="C14" s="115" t="s">
        <v>9</v>
      </c>
      <c r="D14" s="117">
        <v>151436</v>
      </c>
      <c r="E14" s="115" t="s">
        <v>10</v>
      </c>
      <c r="F14" s="117">
        <v>15398</v>
      </c>
      <c r="G14" s="115" t="s">
        <v>11</v>
      </c>
      <c r="H14" s="117">
        <v>9859</v>
      </c>
      <c r="I14" s="178"/>
      <c r="J14" s="244"/>
    </row>
    <row r="15" spans="1:10" ht="15.75" customHeight="1" x14ac:dyDescent="0.25">
      <c r="A15" s="1"/>
      <c r="B15" s="254"/>
      <c r="C15" s="115" t="s">
        <v>73</v>
      </c>
      <c r="D15" s="117">
        <v>46128</v>
      </c>
      <c r="E15" s="147"/>
      <c r="F15" s="166"/>
      <c r="G15" s="165" t="s">
        <v>12</v>
      </c>
      <c r="H15" s="291">
        <v>8832</v>
      </c>
      <c r="I15" s="178"/>
      <c r="J15" s="244"/>
    </row>
    <row r="16" spans="1:10" ht="14.1" customHeight="1" x14ac:dyDescent="0.25">
      <c r="A16" s="1"/>
      <c r="B16" s="254"/>
      <c r="C16" s="177" t="s">
        <v>13</v>
      </c>
      <c r="D16" s="189">
        <f>SUM(D13:D15)</f>
        <v>361000</v>
      </c>
      <c r="E16" s="177" t="s">
        <v>14</v>
      </c>
      <c r="F16" s="189">
        <f>SUM(F12:F15)</f>
        <v>163436</v>
      </c>
      <c r="G16" s="177" t="s">
        <v>7</v>
      </c>
      <c r="H16" s="189">
        <f>SUM(H12:H15)</f>
        <v>109370</v>
      </c>
      <c r="J16" s="244"/>
    </row>
    <row r="17" spans="1:10" ht="30" customHeight="1" x14ac:dyDescent="0.25">
      <c r="A17" s="101"/>
      <c r="B17" s="24"/>
      <c r="C17" s="292"/>
      <c r="D17" s="292"/>
      <c r="E17" s="292"/>
      <c r="F17" s="292"/>
      <c r="G17" s="292"/>
      <c r="H17" s="292"/>
      <c r="I17" s="101"/>
      <c r="J17" s="157"/>
    </row>
    <row r="18" spans="1:10" ht="15" customHeight="1" x14ac:dyDescent="0.25">
      <c r="A18" s="1"/>
      <c r="B18" s="241"/>
      <c r="C18" s="272"/>
      <c r="D18" s="272"/>
      <c r="E18" s="109"/>
      <c r="F18" s="272"/>
      <c r="G18" s="272"/>
      <c r="H18" s="272"/>
      <c r="I18" s="272"/>
      <c r="J18" s="184"/>
    </row>
    <row r="19" spans="1:10" ht="15" customHeight="1" x14ac:dyDescent="0.25">
      <c r="A19" s="1"/>
      <c r="B19" s="254"/>
      <c r="C19" s="258"/>
      <c r="D19" s="258"/>
      <c r="E19" s="275"/>
      <c r="F19" s="258"/>
      <c r="G19" s="258"/>
      <c r="H19" s="258"/>
      <c r="I19" s="258"/>
      <c r="J19" s="3"/>
    </row>
    <row r="20" spans="1:10" ht="15" customHeight="1" x14ac:dyDescent="0.25">
      <c r="A20" s="1"/>
      <c r="B20" s="254"/>
      <c r="C20" s="18" t="s">
        <v>15</v>
      </c>
      <c r="D20" s="258"/>
      <c r="E20" s="275"/>
      <c r="F20" s="258"/>
      <c r="G20" s="258"/>
      <c r="H20" s="202"/>
      <c r="I20" s="258"/>
      <c r="J20" s="3"/>
    </row>
    <row r="21" spans="1:10" ht="12" customHeight="1" x14ac:dyDescent="0.25">
      <c r="A21" s="1"/>
      <c r="B21" s="254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2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144</v>
      </c>
      <c r="G22" s="68" t="s">
        <v>145</v>
      </c>
      <c r="H22" s="68" t="s">
        <v>146</v>
      </c>
      <c r="I22" s="68" t="s">
        <v>147</v>
      </c>
      <c r="J22" s="280"/>
    </row>
    <row r="23" spans="1:10" ht="14.1" customHeight="1" x14ac:dyDescent="0.25">
      <c r="A23" s="1"/>
      <c r="B23" s="254"/>
      <c r="C23" s="16" t="s">
        <v>19</v>
      </c>
      <c r="D23" s="28">
        <f>D24+D25</f>
        <v>38668</v>
      </c>
      <c r="E23" s="28">
        <f>E24+E25</f>
        <v>38668</v>
      </c>
      <c r="F23" s="28">
        <f t="shared" ref="F23:I23" si="0">F25+F24</f>
        <v>482.22149999999999</v>
      </c>
      <c r="G23" s="28">
        <f t="shared" si="0"/>
        <v>6316.0349699999997</v>
      </c>
      <c r="H23" s="11">
        <f t="shared" si="0"/>
        <v>32351.965029999999</v>
      </c>
      <c r="I23" s="11">
        <f t="shared" si="0"/>
        <v>13672.59296</v>
      </c>
      <c r="J23" s="244"/>
    </row>
    <row r="24" spans="1:10" ht="14.1" customHeight="1" x14ac:dyDescent="0.25">
      <c r="A24" s="1"/>
      <c r="B24" s="254"/>
      <c r="C24" s="44" t="s">
        <v>20</v>
      </c>
      <c r="D24" s="45">
        <v>37918</v>
      </c>
      <c r="E24" s="45">
        <v>37918</v>
      </c>
      <c r="F24" s="23">
        <f>469.161</f>
        <v>469.161</v>
      </c>
      <c r="G24" s="23">
        <f>6254.46297</f>
        <v>6254.4629699999996</v>
      </c>
      <c r="H24" s="23">
        <f>E24-G24</f>
        <v>31663.53703</v>
      </c>
      <c r="I24" s="23">
        <f>13572.82946</f>
        <v>13572.829460000001</v>
      </c>
      <c r="J24" s="244"/>
    </row>
    <row r="25" spans="1:10" ht="14.1" customHeight="1" x14ac:dyDescent="0.25">
      <c r="A25" s="1"/>
      <c r="B25" s="254"/>
      <c r="C25" s="48" t="s">
        <v>21</v>
      </c>
      <c r="D25" s="49">
        <v>750</v>
      </c>
      <c r="E25" s="49">
        <v>750</v>
      </c>
      <c r="F25" s="171">
        <f>13.0605</f>
        <v>13.060499999999999</v>
      </c>
      <c r="G25" s="23">
        <f>61.572</f>
        <v>61.572000000000003</v>
      </c>
      <c r="H25" s="23">
        <f>E25-G25</f>
        <v>688.428</v>
      </c>
      <c r="I25" s="23">
        <f>99.7635</f>
        <v>99.763499999999993</v>
      </c>
      <c r="J25" s="244"/>
    </row>
    <row r="26" spans="1:10" ht="14.1" customHeight="1" x14ac:dyDescent="0.25">
      <c r="A26" s="1"/>
      <c r="B26" s="254"/>
      <c r="C26" s="16" t="s">
        <v>22</v>
      </c>
      <c r="D26" s="28">
        <f>D27+D33+D34</f>
        <v>112463</v>
      </c>
      <c r="E26" s="28">
        <f>E27+E33+E34</f>
        <v>112463</v>
      </c>
      <c r="F26" s="28">
        <f t="shared" ref="F26:I26" si="1">F34+F33+F27</f>
        <v>4785.3745900000004</v>
      </c>
      <c r="G26" s="11">
        <f t="shared" si="1"/>
        <v>14626.531850000003</v>
      </c>
      <c r="H26" s="11">
        <f t="shared" si="1"/>
        <v>97836.468150000001</v>
      </c>
      <c r="I26" s="11">
        <f t="shared" si="1"/>
        <v>26157.358760000003</v>
      </c>
      <c r="J26" s="244"/>
    </row>
    <row r="27" spans="1:10" ht="15" customHeight="1" x14ac:dyDescent="0.25">
      <c r="A27" s="51"/>
      <c r="B27" s="53"/>
      <c r="C27" s="56" t="s">
        <v>23</v>
      </c>
      <c r="D27" s="58">
        <f>D28+D29+D30+D31+D32</f>
        <v>89020</v>
      </c>
      <c r="E27" s="58">
        <f>E28+E29+E30+E31+E32</f>
        <v>89020</v>
      </c>
      <c r="F27" s="132">
        <f>F28+F29+F30+F31+F32</f>
        <v>4525.9557800000002</v>
      </c>
      <c r="G27" s="132">
        <f>G28+G29+G30+G31+G32</f>
        <v>11485.611240000002</v>
      </c>
      <c r="H27" s="132">
        <f t="shared" ref="H27:I27" si="2">H28+H29+H30+H31+H32</f>
        <v>77534.388760000002</v>
      </c>
      <c r="I27" s="132">
        <f t="shared" si="2"/>
        <v>22009.959080000001</v>
      </c>
      <c r="J27" s="244"/>
    </row>
    <row r="28" spans="1:10" ht="14.1" customHeight="1" x14ac:dyDescent="0.25">
      <c r="A28" s="197"/>
      <c r="B28" s="182"/>
      <c r="C28" s="62" t="s">
        <v>24</v>
      </c>
      <c r="D28" s="63">
        <v>22666</v>
      </c>
      <c r="E28" s="63">
        <v>22666</v>
      </c>
      <c r="F28" s="214">
        <f>960.1905 - F55</f>
        <v>960.19050000000004</v>
      </c>
      <c r="G28" s="127">
        <f>2360.76497 - G55</f>
        <v>2360.7649700000002</v>
      </c>
      <c r="H28" s="127">
        <f t="shared" ref="H28:H40" si="3">E28-G28</f>
        <v>20305.23503</v>
      </c>
      <c r="I28" s="127">
        <f>4429.06595 - I55</f>
        <v>4429.0659500000002</v>
      </c>
      <c r="J28" s="65"/>
    </row>
    <row r="29" spans="1:10" ht="14.1" customHeight="1" x14ac:dyDescent="0.25">
      <c r="A29" s="197"/>
      <c r="B29" s="182"/>
      <c r="C29" s="62" t="s">
        <v>25</v>
      </c>
      <c r="D29" s="63">
        <v>22686</v>
      </c>
      <c r="E29" s="63">
        <v>22686</v>
      </c>
      <c r="F29" s="127">
        <f>1549.02047 - F56</f>
        <v>1549.0204699999999</v>
      </c>
      <c r="G29" s="127">
        <f>4460.19361 - G56</f>
        <v>4460.1936100000003</v>
      </c>
      <c r="H29" s="127">
        <f t="shared" si="3"/>
        <v>18225.806389999998</v>
      </c>
      <c r="I29" s="127">
        <f>7220.76278 - I56</f>
        <v>7220.76278</v>
      </c>
      <c r="J29" s="65"/>
    </row>
    <row r="30" spans="1:10" ht="14.1" customHeight="1" x14ac:dyDescent="0.25">
      <c r="A30" s="197"/>
      <c r="B30" s="182"/>
      <c r="C30" s="62" t="s">
        <v>26</v>
      </c>
      <c r="D30" s="63">
        <v>20630</v>
      </c>
      <c r="E30" s="63">
        <v>20630</v>
      </c>
      <c r="F30" s="127">
        <f>1146.48403 - F57</f>
        <v>1146.4840300000001</v>
      </c>
      <c r="G30" s="127">
        <f>3104.31153 - G57</f>
        <v>3104.3115299999999</v>
      </c>
      <c r="H30" s="127">
        <f t="shared" si="3"/>
        <v>17525.688470000001</v>
      </c>
      <c r="I30" s="127">
        <f>5853.37285 - I57</f>
        <v>5853.3728499999997</v>
      </c>
      <c r="J30" s="65"/>
    </row>
    <row r="31" spans="1:10" ht="14.1" customHeight="1" x14ac:dyDescent="0.25">
      <c r="A31" s="197"/>
      <c r="B31" s="182"/>
      <c r="C31" s="62" t="s">
        <v>27</v>
      </c>
      <c r="D31" s="63">
        <v>15166</v>
      </c>
      <c r="E31" s="63">
        <v>15166</v>
      </c>
      <c r="F31" s="127">
        <f>870.26078 - F58</f>
        <v>870.26077999999995</v>
      </c>
      <c r="G31" s="127">
        <f>1560.34113 - G58</f>
        <v>1560.34113</v>
      </c>
      <c r="H31" s="127">
        <f t="shared" si="3"/>
        <v>13605.658869999999</v>
      </c>
      <c r="I31" s="127">
        <f>4506.7575 - I58</f>
        <v>4506.7574999999997</v>
      </c>
      <c r="J31" s="65"/>
    </row>
    <row r="32" spans="1:10" ht="14.1" customHeight="1" x14ac:dyDescent="0.25">
      <c r="A32" s="197"/>
      <c r="B32" s="182"/>
      <c r="C32" s="62" t="s">
        <v>28</v>
      </c>
      <c r="D32" s="63">
        <v>7872</v>
      </c>
      <c r="E32" s="63">
        <v>7872</v>
      </c>
      <c r="F32" s="127">
        <f>F54</f>
        <v>0</v>
      </c>
      <c r="G32" s="127">
        <f>G54</f>
        <v>0</v>
      </c>
      <c r="H32" s="127">
        <f>E32-G32</f>
        <v>7872</v>
      </c>
      <c r="I32" s="127">
        <f>I54</f>
        <v>0</v>
      </c>
      <c r="J32" s="65"/>
    </row>
    <row r="33" spans="1:10" ht="14.1" customHeight="1" x14ac:dyDescent="0.25">
      <c r="A33" s="66"/>
      <c r="B33" s="53"/>
      <c r="C33" s="56" t="s">
        <v>29</v>
      </c>
      <c r="D33" s="58">
        <v>12624</v>
      </c>
      <c r="E33" s="58">
        <v>12624</v>
      </c>
      <c r="F33" s="132">
        <f>23.87148</f>
        <v>23.871479999999998</v>
      </c>
      <c r="G33" s="132">
        <f>2350.00667</f>
        <v>2350.0066700000002</v>
      </c>
      <c r="H33" s="132">
        <f t="shared" si="3"/>
        <v>10273.993329999999</v>
      </c>
      <c r="I33" s="132">
        <f>2852.14887</f>
        <v>2852.14887</v>
      </c>
      <c r="J33" s="65"/>
    </row>
    <row r="34" spans="1:10" ht="14.1" customHeight="1" x14ac:dyDescent="0.25">
      <c r="A34" s="66"/>
      <c r="B34" s="53"/>
      <c r="C34" s="56" t="s">
        <v>30</v>
      </c>
      <c r="D34" s="58">
        <f>D35+D36</f>
        <v>10819</v>
      </c>
      <c r="E34" s="58">
        <f>E35+E36</f>
        <v>10819</v>
      </c>
      <c r="F34" s="132">
        <f>F35+F36</f>
        <v>235.54732999999999</v>
      </c>
      <c r="G34" s="132">
        <f>G35+G36</f>
        <v>790.91394000000003</v>
      </c>
      <c r="H34" s="132">
        <f t="shared" si="3"/>
        <v>10028.08606</v>
      </c>
      <c r="I34" s="132">
        <f>I35+I36</f>
        <v>1295.25081</v>
      </c>
      <c r="J34" s="65"/>
    </row>
    <row r="35" spans="1:10" ht="14.1" customHeight="1" x14ac:dyDescent="0.25">
      <c r="A35" s="197"/>
      <c r="B35" s="182"/>
      <c r="C35" s="62" t="s">
        <v>31</v>
      </c>
      <c r="D35" s="63">
        <v>9859</v>
      </c>
      <c r="E35" s="63">
        <v>9859</v>
      </c>
      <c r="F35" s="127">
        <f>235.54733 - F59 - F60</f>
        <v>235.54732999999999</v>
      </c>
      <c r="G35" s="132">
        <f>790.91394 - G59 - G60</f>
        <v>790.91394000000003</v>
      </c>
      <c r="H35" s="127">
        <f t="shared" si="3"/>
        <v>9068.0860599999996</v>
      </c>
      <c r="I35" s="127">
        <f>1295.25081 - I59 - I60</f>
        <v>1295.25081</v>
      </c>
      <c r="J35" s="65"/>
    </row>
    <row r="36" spans="1:10" ht="14.1" customHeight="1" x14ac:dyDescent="0.25">
      <c r="A36" s="197"/>
      <c r="B36" s="182"/>
      <c r="C36" s="69" t="s">
        <v>32</v>
      </c>
      <c r="D36" s="70">
        <v>960</v>
      </c>
      <c r="E36" s="70">
        <v>960</v>
      </c>
      <c r="F36" s="71">
        <f>F59</f>
        <v>0</v>
      </c>
      <c r="G36" s="71">
        <f>G59</f>
        <v>0</v>
      </c>
      <c r="H36" s="71">
        <f t="shared" si="3"/>
        <v>960</v>
      </c>
      <c r="I36" s="71">
        <f>I59</f>
        <v>0</v>
      </c>
      <c r="J36" s="65"/>
    </row>
    <row r="37" spans="1:10" ht="15.75" customHeight="1" x14ac:dyDescent="0.25">
      <c r="A37" s="1"/>
      <c r="B37" s="254"/>
      <c r="C37" s="73" t="s">
        <v>33</v>
      </c>
      <c r="D37" s="143">
        <v>1000</v>
      </c>
      <c r="E37" s="143">
        <v>1000</v>
      </c>
      <c r="F37" s="139">
        <f>16.116</f>
        <v>16.116</v>
      </c>
      <c r="G37" s="139">
        <f>16.116</f>
        <v>16.116</v>
      </c>
      <c r="H37" s="139">
        <f t="shared" si="3"/>
        <v>983.88400000000001</v>
      </c>
      <c r="I37" s="139">
        <f>0</f>
        <v>0</v>
      </c>
      <c r="J37" s="244"/>
    </row>
    <row r="38" spans="1:10" ht="14.1" customHeight="1" x14ac:dyDescent="0.25">
      <c r="A38" s="1"/>
      <c r="B38" s="254"/>
      <c r="C38" s="73" t="s">
        <v>34</v>
      </c>
      <c r="D38" s="143">
        <v>855</v>
      </c>
      <c r="E38" s="143">
        <v>855</v>
      </c>
      <c r="F38" s="98">
        <f>25.4776</f>
        <v>25.477599999999999</v>
      </c>
      <c r="G38" s="98">
        <f>64.81211</f>
        <v>64.812110000000004</v>
      </c>
      <c r="H38" s="98">
        <f t="shared" si="3"/>
        <v>790.18789000000004</v>
      </c>
      <c r="I38" s="98">
        <f>49.6969</f>
        <v>49.696899999999999</v>
      </c>
      <c r="J38" s="244"/>
    </row>
    <row r="39" spans="1:10" ht="17.25" customHeight="1" x14ac:dyDescent="0.25">
      <c r="A39" s="1"/>
      <c r="B39" s="254"/>
      <c r="C39" s="73" t="s">
        <v>35</v>
      </c>
      <c r="D39" s="143">
        <v>3000</v>
      </c>
      <c r="E39" s="143">
        <v>3000</v>
      </c>
      <c r="F39" s="98">
        <f>F60</f>
        <v>0</v>
      </c>
      <c r="G39" s="98">
        <f>G60</f>
        <v>0</v>
      </c>
      <c r="H39" s="98">
        <f t="shared" si="3"/>
        <v>3000</v>
      </c>
      <c r="I39" s="98">
        <f>I60</f>
        <v>0</v>
      </c>
      <c r="J39" s="244"/>
    </row>
    <row r="40" spans="1:10" ht="17.25" customHeight="1" x14ac:dyDescent="0.25">
      <c r="A40" s="1"/>
      <c r="B40" s="254"/>
      <c r="C40" s="73" t="s">
        <v>36</v>
      </c>
      <c r="D40" s="143">
        <v>7000</v>
      </c>
      <c r="E40" s="143">
        <v>7000</v>
      </c>
      <c r="F40" s="98">
        <f>23.46637</f>
        <v>23.466370000000001</v>
      </c>
      <c r="G40" s="98">
        <f>E40</f>
        <v>7000</v>
      </c>
      <c r="H40" s="98">
        <f t="shared" si="3"/>
        <v>0</v>
      </c>
      <c r="I40" s="98">
        <f>E40</f>
        <v>7000</v>
      </c>
      <c r="J40" s="244"/>
    </row>
    <row r="41" spans="1:10" ht="17.25" customHeight="1" x14ac:dyDescent="0.25">
      <c r="A41" s="1"/>
      <c r="B41" s="254"/>
      <c r="C41" s="73" t="s">
        <v>38</v>
      </c>
      <c r="D41" s="143">
        <v>450</v>
      </c>
      <c r="E41" s="143">
        <v>450</v>
      </c>
      <c r="F41" s="98">
        <f>0.90129</f>
        <v>0.90129000000000004</v>
      </c>
      <c r="G41" s="98">
        <f>27.99072</f>
        <v>27.99072</v>
      </c>
      <c r="H41" s="98">
        <f>E41-G41</f>
        <v>422.00927999999999</v>
      </c>
      <c r="I41" s="98">
        <f>1.6755</f>
        <v>1.6755</v>
      </c>
      <c r="J41" s="244"/>
    </row>
    <row r="42" spans="1:10" ht="14.1" customHeight="1" x14ac:dyDescent="0.25">
      <c r="A42" s="1"/>
      <c r="B42" s="254"/>
      <c r="C42" s="73" t="s">
        <v>39</v>
      </c>
      <c r="D42" s="143"/>
      <c r="E42" s="139"/>
      <c r="F42" s="139">
        <f>0</f>
        <v>0</v>
      </c>
      <c r="G42" s="139">
        <f>15.50845</f>
        <v>15.50845</v>
      </c>
      <c r="H42" s="139">
        <f t="shared" ref="H42" si="4">E42-G42</f>
        <v>-15.50845</v>
      </c>
      <c r="I42" s="139">
        <f>11.936</f>
        <v>11.936</v>
      </c>
      <c r="J42" s="244"/>
    </row>
    <row r="43" spans="1:10" ht="16.5" customHeight="1" x14ac:dyDescent="0.25">
      <c r="A43" s="1"/>
      <c r="B43" s="254"/>
      <c r="C43" s="74" t="s">
        <v>40</v>
      </c>
      <c r="D43" s="76">
        <f>D23+D26+D37+D38+D39+D40+D41+D42</f>
        <v>163436</v>
      </c>
      <c r="E43" s="76">
        <f>E23+E26+E37+E38+E39+E40+E41+E42</f>
        <v>163436</v>
      </c>
      <c r="F43" s="76">
        <f t="shared" ref="F43:I43" si="5">F23+F26+F37+F38+F39+F40+F41+F42</f>
        <v>5333.55735</v>
      </c>
      <c r="G43" s="76">
        <f t="shared" si="5"/>
        <v>28066.994100000007</v>
      </c>
      <c r="H43" s="76">
        <f t="shared" si="5"/>
        <v>135369.00589999999</v>
      </c>
      <c r="I43" s="76">
        <f t="shared" si="5"/>
        <v>46893.260120000006</v>
      </c>
      <c r="J43" s="244"/>
    </row>
    <row r="44" spans="1:10" ht="14.1" customHeight="1" x14ac:dyDescent="0.25">
      <c r="A44" s="101"/>
      <c r="B44" s="24"/>
      <c r="C44" s="77" t="s">
        <v>124</v>
      </c>
      <c r="D44" s="258"/>
      <c r="E44" s="258"/>
      <c r="F44" s="80"/>
      <c r="G44" s="80"/>
      <c r="H44" s="228"/>
      <c r="I44" s="228"/>
      <c r="J44" s="81"/>
    </row>
    <row r="45" spans="1:10" ht="14.1" customHeight="1" x14ac:dyDescent="0.25">
      <c r="A45" s="101"/>
      <c r="B45" s="24"/>
      <c r="C45" s="82" t="s">
        <v>41</v>
      </c>
      <c r="D45" s="258"/>
      <c r="E45" s="258"/>
      <c r="F45" s="258"/>
      <c r="G45" s="80"/>
      <c r="H45" s="178"/>
      <c r="I45" s="178"/>
      <c r="J45" s="244"/>
    </row>
    <row r="46" spans="1:10" ht="14.1" customHeight="1" x14ac:dyDescent="0.25">
      <c r="A46" s="101"/>
      <c r="B46" s="24"/>
      <c r="C46" s="161" t="s">
        <v>143</v>
      </c>
      <c r="D46" s="258"/>
      <c r="E46" s="258"/>
      <c r="F46" s="258"/>
      <c r="G46" s="80"/>
      <c r="H46" s="178"/>
      <c r="I46" s="178"/>
      <c r="J46" s="120"/>
    </row>
    <row r="47" spans="1:10" ht="14.1" customHeight="1" x14ac:dyDescent="0.25">
      <c r="A47" s="101"/>
      <c r="B47" s="24"/>
      <c r="C47" s="161" t="s">
        <v>131</v>
      </c>
      <c r="D47" s="258"/>
      <c r="E47" s="258"/>
      <c r="F47" s="258"/>
      <c r="G47" s="258"/>
      <c r="H47" s="178"/>
      <c r="I47" s="178"/>
      <c r="J47" s="120"/>
    </row>
    <row r="48" spans="1:10" ht="14.1" customHeight="1" x14ac:dyDescent="0.25">
      <c r="A48" s="101"/>
      <c r="B48" s="24"/>
      <c r="C48" s="101" t="s">
        <v>42</v>
      </c>
      <c r="D48" s="258"/>
      <c r="E48" s="258"/>
      <c r="F48" s="258"/>
      <c r="G48" s="258"/>
      <c r="H48" s="178"/>
      <c r="I48" s="178"/>
      <c r="J48" s="120"/>
    </row>
    <row r="49" spans="1:10" ht="14.1" customHeight="1" x14ac:dyDescent="0.25">
      <c r="A49" s="101"/>
      <c r="B49" s="24"/>
      <c r="C49" s="101"/>
      <c r="D49" s="258"/>
      <c r="E49" s="258"/>
      <c r="F49" s="258"/>
      <c r="G49" s="258"/>
      <c r="H49" s="178"/>
      <c r="I49" s="178"/>
      <c r="J49" s="120"/>
    </row>
    <row r="50" spans="1:10" ht="20.25" customHeight="1" x14ac:dyDescent="0.25">
      <c r="A50" s="101"/>
      <c r="B50" s="241"/>
      <c r="C50" s="272"/>
      <c r="D50" s="272"/>
      <c r="E50" s="109"/>
      <c r="F50" s="272"/>
      <c r="G50" s="272"/>
      <c r="H50" s="272"/>
      <c r="I50" s="272"/>
      <c r="J50" s="184"/>
    </row>
    <row r="51" spans="1:10" ht="33" customHeight="1" x14ac:dyDescent="0.25">
      <c r="A51" s="101"/>
      <c r="B51" s="24"/>
      <c r="C51" s="303" t="s">
        <v>43</v>
      </c>
      <c r="D51" s="303"/>
      <c r="E51" s="303"/>
      <c r="F51" s="303"/>
      <c r="G51" s="303"/>
      <c r="H51" s="303"/>
      <c r="I51" s="83"/>
      <c r="J51" s="84"/>
    </row>
    <row r="52" spans="1:10" ht="7.5" customHeight="1" x14ac:dyDescent="0.25">
      <c r="A52" s="101"/>
      <c r="B52" s="24"/>
      <c r="C52" s="161"/>
      <c r="D52" s="258"/>
      <c r="E52" s="258"/>
      <c r="F52" s="258"/>
      <c r="G52" s="258"/>
      <c r="H52" s="178"/>
      <c r="I52" s="178"/>
      <c r="J52" s="120"/>
    </row>
    <row r="53" spans="1:10" ht="61.5" customHeight="1" x14ac:dyDescent="0.25">
      <c r="A53" s="101"/>
      <c r="B53" s="24"/>
      <c r="C53" s="86" t="s">
        <v>16</v>
      </c>
      <c r="D53" s="68" t="s">
        <v>44</v>
      </c>
      <c r="E53" s="68" t="s">
        <v>121</v>
      </c>
      <c r="F53" s="68" t="s">
        <v>144</v>
      </c>
      <c r="G53" s="68" t="s">
        <v>145</v>
      </c>
      <c r="H53" s="68" t="s">
        <v>146</v>
      </c>
      <c r="I53" s="68" t="s">
        <v>147</v>
      </c>
      <c r="J53" s="244"/>
    </row>
    <row r="54" spans="1:10" ht="14.1" customHeight="1" x14ac:dyDescent="0.25">
      <c r="A54" s="101"/>
      <c r="B54" s="24"/>
      <c r="C54" s="16" t="s">
        <v>45</v>
      </c>
      <c r="D54" s="304">
        <v>7872</v>
      </c>
      <c r="E54" s="304">
        <v>7872</v>
      </c>
      <c r="F54" s="11">
        <f>F58+F57+F56+F55</f>
        <v>0</v>
      </c>
      <c r="G54" s="11">
        <f>G58+G57+G56+G55</f>
        <v>0</v>
      </c>
      <c r="H54" s="304">
        <f>E54-G54</f>
        <v>7872</v>
      </c>
      <c r="I54" s="11">
        <f>I58+I57+I56+I55</f>
        <v>0</v>
      </c>
      <c r="J54" s="120"/>
    </row>
    <row r="55" spans="1:10" ht="14.1" customHeight="1" x14ac:dyDescent="0.25">
      <c r="A55" s="101"/>
      <c r="B55" s="24"/>
      <c r="C55" s="62" t="s">
        <v>24</v>
      </c>
      <c r="D55" s="305"/>
      <c r="E55" s="305"/>
      <c r="F55" s="127"/>
      <c r="G55" s="127"/>
      <c r="H55" s="305"/>
      <c r="I55" s="127"/>
      <c r="J55" s="120"/>
    </row>
    <row r="56" spans="1:10" ht="14.1" customHeight="1" x14ac:dyDescent="0.25">
      <c r="A56" s="101"/>
      <c r="B56" s="24"/>
      <c r="C56" s="62" t="s">
        <v>25</v>
      </c>
      <c r="D56" s="305"/>
      <c r="E56" s="305"/>
      <c r="F56" s="127"/>
      <c r="G56" s="127"/>
      <c r="H56" s="305"/>
      <c r="I56" s="127"/>
      <c r="J56" s="244"/>
    </row>
    <row r="57" spans="1:10" ht="14.1" customHeight="1" x14ac:dyDescent="0.25">
      <c r="A57" s="101"/>
      <c r="B57" s="24"/>
      <c r="C57" s="62" t="s">
        <v>26</v>
      </c>
      <c r="D57" s="305"/>
      <c r="E57" s="305"/>
      <c r="F57" s="127"/>
      <c r="G57" s="127"/>
      <c r="H57" s="305"/>
      <c r="I57" s="127"/>
      <c r="J57" s="120"/>
    </row>
    <row r="58" spans="1:10" ht="14.1" customHeight="1" x14ac:dyDescent="0.25">
      <c r="A58" s="101"/>
      <c r="B58" s="24"/>
      <c r="C58" s="87" t="s">
        <v>27</v>
      </c>
      <c r="D58" s="306"/>
      <c r="E58" s="306"/>
      <c r="F58" s="192"/>
      <c r="G58" s="192"/>
      <c r="H58" s="306"/>
      <c r="I58" s="192"/>
      <c r="J58" s="120"/>
    </row>
    <row r="59" spans="1:10" ht="14.1" customHeight="1" x14ac:dyDescent="0.25">
      <c r="A59" s="101"/>
      <c r="B59" s="24"/>
      <c r="C59" s="88" t="s">
        <v>46</v>
      </c>
      <c r="D59" s="95">
        <v>960</v>
      </c>
      <c r="E59" s="95">
        <v>960</v>
      </c>
      <c r="F59" s="95"/>
      <c r="G59" s="95"/>
      <c r="H59" s="95">
        <f>E59-G59</f>
        <v>960</v>
      </c>
      <c r="I59" s="95"/>
      <c r="J59" s="244"/>
    </row>
    <row r="60" spans="1:10" ht="14.1" customHeight="1" x14ac:dyDescent="0.25">
      <c r="A60" s="101"/>
      <c r="B60" s="24"/>
      <c r="C60" s="142" t="s">
        <v>47</v>
      </c>
      <c r="D60" s="139">
        <v>3000</v>
      </c>
      <c r="E60" s="139">
        <v>3000</v>
      </c>
      <c r="F60" s="139"/>
      <c r="G60" s="139"/>
      <c r="H60" s="139">
        <f>E60-G60</f>
        <v>3000</v>
      </c>
      <c r="I60" s="139"/>
      <c r="J60" s="120"/>
    </row>
    <row r="61" spans="1:10" ht="14.1" customHeight="1" x14ac:dyDescent="0.25">
      <c r="A61" s="101"/>
      <c r="B61" s="24"/>
      <c r="C61" s="77" t="s">
        <v>125</v>
      </c>
      <c r="D61" s="258"/>
      <c r="E61" s="258"/>
      <c r="F61" s="258"/>
      <c r="G61" s="258"/>
      <c r="H61" s="178"/>
      <c r="I61" s="178"/>
      <c r="J61" s="120"/>
    </row>
    <row r="62" spans="1:10" ht="14.1" customHeight="1" x14ac:dyDescent="0.25">
      <c r="A62" s="101"/>
      <c r="B62" s="24"/>
      <c r="C62" s="161"/>
      <c r="D62" s="258"/>
      <c r="E62" s="258"/>
      <c r="F62" s="258"/>
      <c r="G62" s="258"/>
      <c r="H62" s="178"/>
      <c r="I62" s="178"/>
      <c r="J62" s="120"/>
    </row>
    <row r="63" spans="1:10" ht="15" customHeight="1" x14ac:dyDescent="0.25">
      <c r="A63" s="101"/>
      <c r="B63" s="24"/>
      <c r="C63" s="161"/>
      <c r="D63" s="258"/>
      <c r="E63" s="258"/>
      <c r="F63" s="258"/>
      <c r="G63" s="258"/>
      <c r="H63" s="178"/>
      <c r="I63" s="178"/>
      <c r="J63" s="120"/>
    </row>
    <row r="64" spans="1:10" ht="12" customHeight="1" x14ac:dyDescent="0.25">
      <c r="A64" s="101"/>
      <c r="B64" s="92"/>
      <c r="C64" s="201"/>
      <c r="D64" s="59"/>
      <c r="E64" s="59"/>
      <c r="F64" s="59"/>
      <c r="G64" s="59"/>
      <c r="H64" s="106"/>
      <c r="I64" s="106"/>
      <c r="J64" s="118"/>
    </row>
    <row r="65" spans="1:1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5">
      <c r="B66" s="1"/>
      <c r="C66" s="288"/>
      <c r="D66" s="119"/>
      <c r="E66" s="119"/>
      <c r="F66" s="119"/>
      <c r="G66" s="119"/>
      <c r="H66" s="1"/>
      <c r="I66" s="1"/>
      <c r="J66" s="1"/>
    </row>
    <row r="67" spans="1:10" x14ac:dyDescent="0.25">
      <c r="B67" s="1" t="s">
        <v>112</v>
      </c>
      <c r="C67" s="288"/>
      <c r="D67" s="119"/>
      <c r="E67" s="119"/>
      <c r="F67" s="119"/>
      <c r="G67" s="119"/>
      <c r="H67" s="1"/>
      <c r="I67" s="1"/>
      <c r="J67" s="1"/>
    </row>
    <row r="70" spans="1:10" ht="0.75" customHeight="1" x14ac:dyDescent="0.25"/>
    <row r="76" spans="1:10" ht="204" customHeight="1" x14ac:dyDescent="0.25"/>
    <row r="77" spans="1:10" ht="17.100000000000001" customHeight="1" x14ac:dyDescent="0.25">
      <c r="B77" s="2"/>
      <c r="C77" s="219" t="s">
        <v>48</v>
      </c>
      <c r="D77" s="2"/>
      <c r="E77" s="2"/>
      <c r="F77" s="2"/>
      <c r="G77" s="2"/>
      <c r="H77" s="2"/>
      <c r="I77" s="2"/>
      <c r="J77" s="2"/>
    </row>
    <row r="78" spans="1:10" ht="3" customHeight="1" x14ac:dyDescent="0.25">
      <c r="B78" s="2"/>
      <c r="C78" s="219"/>
      <c r="D78" s="2"/>
      <c r="E78" s="2"/>
      <c r="F78" s="2"/>
      <c r="G78" s="2"/>
      <c r="H78" s="2"/>
      <c r="I78" s="2"/>
      <c r="J78" s="2"/>
    </row>
    <row r="79" spans="1:10" ht="14.1" customHeight="1" x14ac:dyDescent="0.25">
      <c r="B79" s="138"/>
      <c r="C79" s="154"/>
      <c r="D79" s="154"/>
      <c r="E79" s="154"/>
      <c r="F79" s="154"/>
      <c r="G79" s="154"/>
      <c r="H79" s="154"/>
      <c r="I79" s="154"/>
      <c r="J79" s="162"/>
    </row>
    <row r="80" spans="1:10" ht="16.5" customHeight="1" x14ac:dyDescent="0.25">
      <c r="B80" s="52"/>
      <c r="C80" s="299" t="s">
        <v>1</v>
      </c>
      <c r="D80" s="300"/>
      <c r="E80" s="299" t="s">
        <v>2</v>
      </c>
      <c r="F80" s="307"/>
      <c r="G80" s="299" t="s">
        <v>3</v>
      </c>
      <c r="H80" s="300"/>
      <c r="I80" s="178"/>
      <c r="J80" s="244"/>
    </row>
    <row r="81" spans="1:10" ht="15" customHeight="1" x14ac:dyDescent="0.25">
      <c r="B81" s="254"/>
      <c r="C81" s="115" t="s">
        <v>6</v>
      </c>
      <c r="D81" s="117">
        <v>65468</v>
      </c>
      <c r="E81" s="259" t="s">
        <v>4</v>
      </c>
      <c r="F81" s="114">
        <v>24193</v>
      </c>
      <c r="G81" s="191" t="s">
        <v>5</v>
      </c>
      <c r="H81" s="114">
        <v>7105</v>
      </c>
      <c r="I81" s="178"/>
      <c r="J81" s="244"/>
    </row>
    <row r="82" spans="1:10" ht="15" customHeight="1" x14ac:dyDescent="0.25">
      <c r="B82" s="254"/>
      <c r="C82" s="115" t="s">
        <v>9</v>
      </c>
      <c r="D82" s="117">
        <v>56468</v>
      </c>
      <c r="E82" s="248" t="s">
        <v>7</v>
      </c>
      <c r="F82" s="117">
        <v>39474</v>
      </c>
      <c r="G82" s="191" t="s">
        <v>8</v>
      </c>
      <c r="H82" s="117">
        <v>29211</v>
      </c>
      <c r="I82" s="178"/>
      <c r="J82" s="244"/>
    </row>
    <row r="83" spans="1:10" ht="14.1" customHeight="1" x14ac:dyDescent="0.25">
      <c r="B83" s="254"/>
      <c r="C83" s="115" t="s">
        <v>73</v>
      </c>
      <c r="D83" s="117">
        <v>8064</v>
      </c>
      <c r="E83" s="115" t="s">
        <v>10</v>
      </c>
      <c r="F83" s="117">
        <v>1801</v>
      </c>
      <c r="G83" s="191" t="s">
        <v>11</v>
      </c>
      <c r="H83" s="117">
        <v>3158</v>
      </c>
      <c r="I83" s="178"/>
      <c r="J83" s="244"/>
    </row>
    <row r="84" spans="1:10" ht="12" customHeight="1" x14ac:dyDescent="0.25">
      <c r="B84" s="254"/>
      <c r="C84" s="177" t="s">
        <v>49</v>
      </c>
      <c r="D84" s="189">
        <f>SUM(D81:D83)</f>
        <v>130000</v>
      </c>
      <c r="E84" s="177" t="s">
        <v>14</v>
      </c>
      <c r="F84" s="189">
        <f>SUM(F81:F83)</f>
        <v>65468</v>
      </c>
      <c r="G84" s="177" t="s">
        <v>7</v>
      </c>
      <c r="H84" s="189">
        <f>SUM(H81:H83)</f>
        <v>39474</v>
      </c>
      <c r="I84" s="178"/>
      <c r="J84" s="244"/>
    </row>
    <row r="85" spans="1:10" ht="14.25" customHeight="1" x14ac:dyDescent="0.25">
      <c r="A85" s="1"/>
      <c r="B85" s="254"/>
      <c r="C85" s="101"/>
      <c r="D85" s="220"/>
      <c r="E85" s="220"/>
      <c r="F85" s="220"/>
      <c r="G85" s="220"/>
      <c r="H85" s="220"/>
      <c r="I85" s="236"/>
      <c r="J85" s="120"/>
    </row>
    <row r="86" spans="1:10" ht="6" customHeight="1" x14ac:dyDescent="0.25">
      <c r="A86" s="1"/>
      <c r="B86" s="254"/>
      <c r="C86" s="96"/>
      <c r="D86" s="96"/>
      <c r="E86" s="96"/>
      <c r="F86" s="96"/>
      <c r="G86" s="96"/>
      <c r="H86" s="96"/>
      <c r="I86" s="236"/>
      <c r="J86" s="120"/>
    </row>
    <row r="87" spans="1:10" ht="14.1" customHeight="1" x14ac:dyDescent="0.25">
      <c r="A87" s="1"/>
      <c r="B87" s="135"/>
      <c r="C87" s="272"/>
      <c r="D87" s="109"/>
      <c r="E87" s="272"/>
      <c r="F87" s="272"/>
      <c r="G87" s="272"/>
      <c r="H87" s="272"/>
      <c r="I87" s="261"/>
      <c r="J87" s="184"/>
    </row>
    <row r="88" spans="1:10" ht="20.25" customHeight="1" x14ac:dyDescent="0.25">
      <c r="A88" s="1"/>
      <c r="B88" s="254"/>
      <c r="C88" s="18" t="str">
        <f>C20</f>
        <v>KVOTE- OG FANGSTOVERSIKT</v>
      </c>
      <c r="D88" s="96"/>
      <c r="E88" s="96"/>
      <c r="F88" s="96"/>
      <c r="G88" s="96"/>
      <c r="H88" s="96"/>
      <c r="I88" s="1"/>
      <c r="J88" s="120"/>
    </row>
    <row r="89" spans="1:10" ht="11.25" customHeight="1" x14ac:dyDescent="0.3">
      <c r="A89" s="1"/>
      <c r="B89" s="254"/>
      <c r="C89" s="290"/>
      <c r="D89" s="290"/>
      <c r="E89" s="290"/>
      <c r="F89" s="290"/>
      <c r="G89" s="290"/>
      <c r="H89" s="290"/>
      <c r="I89" s="290"/>
      <c r="J89" s="19"/>
    </row>
    <row r="90" spans="1:10" ht="54" customHeight="1" x14ac:dyDescent="0.25">
      <c r="A90" s="1"/>
      <c r="B90" s="254"/>
      <c r="C90" s="15" t="s">
        <v>16</v>
      </c>
      <c r="D90" s="113" t="s">
        <v>17</v>
      </c>
      <c r="E90" s="15" t="s">
        <v>50</v>
      </c>
      <c r="F90" s="15" t="s">
        <v>144</v>
      </c>
      <c r="G90" s="15" t="s">
        <v>145</v>
      </c>
      <c r="H90" s="15" t="s">
        <v>146</v>
      </c>
      <c r="I90" s="15" t="s">
        <v>147</v>
      </c>
      <c r="J90" s="120"/>
    </row>
    <row r="91" spans="1:10" ht="14.1" customHeight="1" x14ac:dyDescent="0.25">
      <c r="A91" s="1"/>
      <c r="B91" s="254"/>
      <c r="C91" s="32" t="s">
        <v>19</v>
      </c>
      <c r="D91" s="28">
        <f>D92+D93</f>
        <v>24193</v>
      </c>
      <c r="E91" s="28">
        <f>E93+E92</f>
        <v>24193</v>
      </c>
      <c r="F91" s="11">
        <f t="shared" ref="F91:I91" si="6">F93+F92</f>
        <v>94.639439999999993</v>
      </c>
      <c r="G91" s="11">
        <f t="shared" si="6"/>
        <v>1261.4647399999999</v>
      </c>
      <c r="H91" s="11">
        <f t="shared" si="6"/>
        <v>22931.535259999997</v>
      </c>
      <c r="I91" s="11">
        <f t="shared" si="6"/>
        <v>2816.5771000000004</v>
      </c>
      <c r="J91" s="244"/>
    </row>
    <row r="92" spans="1:10" ht="15" customHeight="1" x14ac:dyDescent="0.25">
      <c r="A92" s="1"/>
      <c r="B92" s="254"/>
      <c r="C92" s="44" t="s">
        <v>20</v>
      </c>
      <c r="D92" s="45">
        <v>23443</v>
      </c>
      <c r="E92" s="45">
        <v>23443</v>
      </c>
      <c r="F92" s="23">
        <f>91.22904</f>
        <v>91.229039999999998</v>
      </c>
      <c r="G92" s="23">
        <f>1257.23814</f>
        <v>1257.2381399999999</v>
      </c>
      <c r="H92" s="23">
        <f>E92-G92</f>
        <v>22185.761859999999</v>
      </c>
      <c r="I92" s="23">
        <f>2787.6559</f>
        <v>2787.6559000000002</v>
      </c>
      <c r="J92" s="244"/>
    </row>
    <row r="93" spans="1:10" ht="14.1" customHeight="1" x14ac:dyDescent="0.25">
      <c r="A93" s="1"/>
      <c r="B93" s="254"/>
      <c r="C93" s="64" t="s">
        <v>21</v>
      </c>
      <c r="D93" s="49">
        <v>750</v>
      </c>
      <c r="E93" s="49">
        <v>750</v>
      </c>
      <c r="F93" s="50">
        <f>3.4104</f>
        <v>3.4104000000000001</v>
      </c>
      <c r="G93" s="50">
        <f>4.2266</f>
        <v>4.2266000000000004</v>
      </c>
      <c r="H93" s="50">
        <f>E93-G93</f>
        <v>745.77340000000004</v>
      </c>
      <c r="I93" s="50">
        <f>28.9212</f>
        <v>28.921199999999999</v>
      </c>
      <c r="J93" s="244"/>
    </row>
    <row r="94" spans="1:10" ht="15.75" customHeight="1" x14ac:dyDescent="0.25">
      <c r="A94" s="1"/>
      <c r="B94" s="52"/>
      <c r="C94" s="16" t="s">
        <v>22</v>
      </c>
      <c r="D94" s="28">
        <f>D95+D100+D101</f>
        <v>40606</v>
      </c>
      <c r="E94" s="28">
        <f>E95+E100+E101</f>
        <v>40606</v>
      </c>
      <c r="F94" s="11">
        <f t="shared" ref="F94:I94" si="7">F95+F100+F101</f>
        <v>714.36174999999992</v>
      </c>
      <c r="G94" s="11">
        <f t="shared" si="7"/>
        <v>4274.7686199999998</v>
      </c>
      <c r="H94" s="11">
        <f t="shared" si="7"/>
        <v>36331.231380000005</v>
      </c>
      <c r="I94" s="11">
        <f t="shared" si="7"/>
        <v>7585.1777999999995</v>
      </c>
      <c r="J94" s="244"/>
    </row>
    <row r="95" spans="1:10" ht="14.1" customHeight="1" x14ac:dyDescent="0.25">
      <c r="A95" s="1"/>
      <c r="B95" s="53"/>
      <c r="C95" s="56" t="s">
        <v>23</v>
      </c>
      <c r="D95" s="58">
        <f>D96+D97+D98+D99</f>
        <v>30343</v>
      </c>
      <c r="E95" s="58">
        <f>E99+E98+E97+E96</f>
        <v>30343</v>
      </c>
      <c r="F95" s="132">
        <f t="shared" ref="F95:I95" si="8">F96+F97+F98+F99</f>
        <v>623.47539999999992</v>
      </c>
      <c r="G95" s="132">
        <f t="shared" si="8"/>
        <v>3117.6977400000001</v>
      </c>
      <c r="H95" s="132">
        <f t="shared" si="8"/>
        <v>27225.30226</v>
      </c>
      <c r="I95" s="132">
        <f t="shared" si="8"/>
        <v>4367.0934900000002</v>
      </c>
      <c r="J95" s="244"/>
    </row>
    <row r="96" spans="1:10" ht="14.1" customHeight="1" x14ac:dyDescent="0.25">
      <c r="A96" s="197"/>
      <c r="B96" s="182"/>
      <c r="C96" s="62" t="s">
        <v>24</v>
      </c>
      <c r="D96" s="63">
        <v>8110</v>
      </c>
      <c r="E96" s="63">
        <v>8110</v>
      </c>
      <c r="F96" s="127">
        <f>142.20066</f>
        <v>142.20066</v>
      </c>
      <c r="G96" s="127">
        <f>1206.36733</f>
        <v>1206.36733</v>
      </c>
      <c r="H96" s="127">
        <f t="shared" ref="H96:H103" si="9">E96-G96</f>
        <v>6903.63267</v>
      </c>
      <c r="I96" s="127">
        <f>1676.0071</f>
        <v>1676.0071</v>
      </c>
      <c r="J96" s="244"/>
    </row>
    <row r="97" spans="1:10" ht="14.1" customHeight="1" x14ac:dyDescent="0.25">
      <c r="A97" s="197"/>
      <c r="B97" s="182"/>
      <c r="C97" s="62" t="s">
        <v>51</v>
      </c>
      <c r="D97" s="63">
        <v>8591</v>
      </c>
      <c r="E97" s="63">
        <v>8591</v>
      </c>
      <c r="F97" s="127">
        <f>168.798</f>
        <v>168.798</v>
      </c>
      <c r="G97" s="127">
        <f>886.30401</f>
        <v>886.30400999999995</v>
      </c>
      <c r="H97" s="127">
        <f t="shared" si="9"/>
        <v>7704.6959900000002</v>
      </c>
      <c r="I97" s="127">
        <f>1762.11075</f>
        <v>1762.1107500000001</v>
      </c>
      <c r="J97" s="244"/>
    </row>
    <row r="98" spans="1:10" ht="14.1" customHeight="1" x14ac:dyDescent="0.25">
      <c r="A98" s="197"/>
      <c r="B98" s="182"/>
      <c r="C98" s="62" t="s">
        <v>52</v>
      </c>
      <c r="D98" s="63">
        <v>8179</v>
      </c>
      <c r="E98" s="63">
        <v>8179</v>
      </c>
      <c r="F98" s="127">
        <f>130.63883</f>
        <v>130.63883000000001</v>
      </c>
      <c r="G98" s="127">
        <f>719.46043</f>
        <v>719.46042999999997</v>
      </c>
      <c r="H98" s="127">
        <f t="shared" si="9"/>
        <v>7459.5395699999999</v>
      </c>
      <c r="I98" s="127">
        <f>743.09654</f>
        <v>743.09654</v>
      </c>
      <c r="J98" s="244"/>
    </row>
    <row r="99" spans="1:10" ht="14.1" customHeight="1" x14ac:dyDescent="0.25">
      <c r="A99" s="197"/>
      <c r="B99" s="182"/>
      <c r="C99" s="62" t="s">
        <v>27</v>
      </c>
      <c r="D99" s="63">
        <v>5463</v>
      </c>
      <c r="E99" s="63">
        <v>5463</v>
      </c>
      <c r="F99" s="127">
        <f>181.83791</f>
        <v>181.83790999999999</v>
      </c>
      <c r="G99" s="127">
        <f>305.56597</f>
        <v>305.56596999999999</v>
      </c>
      <c r="H99" s="127">
        <f t="shared" si="9"/>
        <v>5157.4340300000003</v>
      </c>
      <c r="I99" s="127">
        <f>185.8791</f>
        <v>185.87909999999999</v>
      </c>
      <c r="J99" s="244"/>
    </row>
    <row r="100" spans="1:10" ht="14.1" customHeight="1" x14ac:dyDescent="0.25">
      <c r="A100" s="197"/>
      <c r="B100" s="182"/>
      <c r="C100" s="56" t="s">
        <v>53</v>
      </c>
      <c r="D100" s="58">
        <v>7105</v>
      </c>
      <c r="E100" s="58">
        <v>7105</v>
      </c>
      <c r="F100" s="132">
        <f>19.87388</f>
        <v>19.87388</v>
      </c>
      <c r="G100" s="132">
        <f>708.60177</f>
        <v>708.60176999999999</v>
      </c>
      <c r="H100" s="132">
        <f t="shared" si="9"/>
        <v>6396.3982299999998</v>
      </c>
      <c r="I100" s="132">
        <f>2454.89997</f>
        <v>2454.8999699999999</v>
      </c>
      <c r="J100" s="244"/>
    </row>
    <row r="101" spans="1:10" ht="15.75" customHeight="1" x14ac:dyDescent="0.25">
      <c r="A101" s="1"/>
      <c r="B101" s="53"/>
      <c r="C101" s="38" t="s">
        <v>11</v>
      </c>
      <c r="D101" s="61">
        <v>3158</v>
      </c>
      <c r="E101" s="61">
        <v>3158</v>
      </c>
      <c r="F101" s="75">
        <f>71.01247</f>
        <v>71.012469999999993</v>
      </c>
      <c r="G101" s="75">
        <f>448.46911</f>
        <v>448.46911</v>
      </c>
      <c r="H101" s="75">
        <f t="shared" si="9"/>
        <v>2709.53089</v>
      </c>
      <c r="I101" s="75">
        <f>763.18434</f>
        <v>763.18434000000002</v>
      </c>
      <c r="J101" s="244"/>
    </row>
    <row r="102" spans="1:10" ht="15.75" customHeight="1" x14ac:dyDescent="0.25">
      <c r="A102" s="1"/>
      <c r="B102" s="53"/>
      <c r="C102" s="73" t="s">
        <v>34</v>
      </c>
      <c r="D102" s="89">
        <v>319</v>
      </c>
      <c r="E102" s="89">
        <v>319</v>
      </c>
      <c r="F102" s="98">
        <f>0.69768</f>
        <v>0.69767999999999997</v>
      </c>
      <c r="G102" s="98">
        <f>2.06454</f>
        <v>2.06454</v>
      </c>
      <c r="H102" s="98">
        <f t="shared" si="9"/>
        <v>316.93545999999998</v>
      </c>
      <c r="I102" s="98">
        <f>5.59092</f>
        <v>5.5909199999999997</v>
      </c>
      <c r="J102" s="244"/>
    </row>
    <row r="103" spans="1:10" ht="18" customHeight="1" x14ac:dyDescent="0.25">
      <c r="A103" s="1"/>
      <c r="B103" s="254"/>
      <c r="C103" s="73" t="s">
        <v>54</v>
      </c>
      <c r="D103" s="143">
        <v>300</v>
      </c>
      <c r="E103" s="143">
        <v>300</v>
      </c>
      <c r="F103" s="139">
        <f>1.97626</f>
        <v>1.9762599999999999</v>
      </c>
      <c r="G103" s="139">
        <f>E103</f>
        <v>300</v>
      </c>
      <c r="H103" s="139">
        <f t="shared" si="9"/>
        <v>0</v>
      </c>
      <c r="I103" s="139">
        <f>E103</f>
        <v>300</v>
      </c>
      <c r="J103" s="244"/>
    </row>
    <row r="104" spans="1:10" ht="16.5" customHeight="1" x14ac:dyDescent="0.25">
      <c r="A104" s="1"/>
      <c r="B104" s="254"/>
      <c r="C104" s="93" t="s">
        <v>38</v>
      </c>
      <c r="D104" s="143">
        <v>50</v>
      </c>
      <c r="E104" s="143">
        <v>50</v>
      </c>
      <c r="F104" s="98">
        <f>0.18429</f>
        <v>0.18429000000000001</v>
      </c>
      <c r="G104" s="98">
        <f>6.90509</f>
        <v>6.9050900000000004</v>
      </c>
      <c r="H104" s="139">
        <f>E104-G104</f>
        <v>43.094909999999999</v>
      </c>
      <c r="I104" s="98">
        <f>2.95386</f>
        <v>2.9538600000000002</v>
      </c>
      <c r="J104" s="244"/>
    </row>
    <row r="105" spans="1:10" ht="18" customHeight="1" x14ac:dyDescent="0.25">
      <c r="A105" s="1"/>
      <c r="B105" s="254"/>
      <c r="C105" s="93" t="s">
        <v>55</v>
      </c>
      <c r="D105" s="143"/>
      <c r="E105" s="139"/>
      <c r="F105" s="139">
        <f>0.15</f>
        <v>0.15</v>
      </c>
      <c r="G105" s="139">
        <f>0.998</f>
        <v>0.998</v>
      </c>
      <c r="H105" s="139">
        <f t="shared" ref="H105" si="10">E105-G105</f>
        <v>-0.998</v>
      </c>
      <c r="I105" s="139">
        <f>2.3032</f>
        <v>2.3031999999999999</v>
      </c>
      <c r="J105" s="244"/>
    </row>
    <row r="106" spans="1:10" ht="16.5" customHeight="1" x14ac:dyDescent="0.25">
      <c r="A106" s="1"/>
      <c r="B106" s="254"/>
      <c r="C106" s="74" t="s">
        <v>40</v>
      </c>
      <c r="D106" s="76">
        <f>D91+D94+D102+D103+D104+D105</f>
        <v>65468</v>
      </c>
      <c r="E106" s="76">
        <f t="shared" ref="E106" si="11">E91+E94+E102+E103+E104+E105</f>
        <v>65468</v>
      </c>
      <c r="F106" s="76">
        <f t="shared" ref="F106:I106" si="12">F91+F94+F102+F103+F104+F105</f>
        <v>812.00941999999998</v>
      </c>
      <c r="G106" s="76">
        <f t="shared" si="12"/>
        <v>5846.2009900000003</v>
      </c>
      <c r="H106" s="76">
        <f t="shared" si="12"/>
        <v>59621.799010000002</v>
      </c>
      <c r="I106" s="76">
        <f t="shared" si="12"/>
        <v>10712.60288</v>
      </c>
      <c r="J106" s="244"/>
    </row>
    <row r="107" spans="1:10" ht="13.5" customHeight="1" x14ac:dyDescent="0.25">
      <c r="A107" s="1"/>
      <c r="B107" s="254"/>
      <c r="C107" s="77" t="s">
        <v>126</v>
      </c>
      <c r="D107" s="100"/>
      <c r="E107" s="100"/>
      <c r="F107" s="102"/>
      <c r="G107" s="102"/>
      <c r="H107" s="104"/>
      <c r="I107" s="228"/>
      <c r="J107" s="244"/>
    </row>
    <row r="108" spans="1:10" ht="13.5" customHeight="1" x14ac:dyDescent="0.25">
      <c r="A108" s="1"/>
      <c r="B108" s="24"/>
      <c r="C108" s="161" t="s">
        <v>141</v>
      </c>
      <c r="D108" s="258"/>
      <c r="E108" s="258"/>
      <c r="F108" s="80"/>
      <c r="G108" s="80"/>
      <c r="H108" s="228"/>
      <c r="I108" s="228"/>
      <c r="J108" s="105"/>
    </row>
    <row r="109" spans="1:10" ht="15" customHeight="1" x14ac:dyDescent="0.25">
      <c r="A109" s="1"/>
      <c r="B109" s="24"/>
      <c r="C109" s="161" t="s">
        <v>132</v>
      </c>
      <c r="D109" s="258"/>
      <c r="E109" s="258"/>
      <c r="F109" s="80"/>
      <c r="G109" s="80"/>
      <c r="H109" s="228"/>
      <c r="I109" s="228"/>
      <c r="J109" s="105"/>
    </row>
    <row r="110" spans="1:10" ht="15" customHeight="1" x14ac:dyDescent="0.25">
      <c r="A110" s="1"/>
      <c r="B110" s="24"/>
      <c r="C110" s="228" t="s">
        <v>56</v>
      </c>
      <c r="D110" s="258"/>
      <c r="E110" s="258"/>
      <c r="F110" s="80"/>
      <c r="G110" s="80"/>
      <c r="H110" s="228"/>
      <c r="I110" s="228"/>
      <c r="J110" s="105"/>
    </row>
    <row r="111" spans="1:10" ht="12" customHeight="1" x14ac:dyDescent="0.25">
      <c r="A111" s="1"/>
      <c r="B111" s="92"/>
      <c r="C111" s="107"/>
      <c r="D111" s="110"/>
      <c r="E111" s="110"/>
      <c r="F111" s="110"/>
      <c r="G111" s="110"/>
      <c r="H111" s="110"/>
      <c r="I111" s="201"/>
      <c r="J111" s="111"/>
    </row>
    <row r="112" spans="1:10" ht="12" customHeight="1" x14ac:dyDescent="0.25">
      <c r="A112" s="1"/>
      <c r="B112" s="101"/>
      <c r="C112" s="1" t="s">
        <v>112</v>
      </c>
      <c r="D112" s="228"/>
      <c r="E112" s="228"/>
      <c r="F112" s="228"/>
      <c r="G112" s="228"/>
      <c r="H112" s="228"/>
      <c r="I112" s="101"/>
      <c r="J112" s="101" t="s">
        <v>112</v>
      </c>
    </row>
    <row r="113" spans="1:10" ht="14.25" customHeight="1" x14ac:dyDescent="0.25">
      <c r="A113" s="1"/>
      <c r="B113" s="101"/>
      <c r="C113" s="101" t="s">
        <v>112</v>
      </c>
      <c r="D113" s="101" t="s">
        <v>112</v>
      </c>
      <c r="E113" s="101"/>
      <c r="F113" s="101"/>
      <c r="G113" s="101"/>
      <c r="H113" s="101"/>
      <c r="I113" s="101"/>
      <c r="J113" s="101" t="s">
        <v>112</v>
      </c>
    </row>
    <row r="114" spans="1:10" ht="17.100000000000001" customHeight="1" x14ac:dyDescent="0.25">
      <c r="A114" s="218"/>
      <c r="B114" s="218"/>
      <c r="C114" s="219" t="s">
        <v>57</v>
      </c>
      <c r="D114" s="218"/>
      <c r="E114" s="218"/>
      <c r="F114" s="218"/>
      <c r="G114" s="218"/>
      <c r="H114" s="218"/>
      <c r="I114" s="218"/>
      <c r="J114" s="218"/>
    </row>
    <row r="115" spans="1:10" ht="3" customHeight="1" x14ac:dyDescent="0.25">
      <c r="A115" s="218"/>
      <c r="B115" s="218"/>
      <c r="C115" s="219"/>
      <c r="D115" s="218"/>
      <c r="E115" s="218"/>
      <c r="F115" s="218"/>
      <c r="G115" s="218"/>
      <c r="H115" s="218"/>
      <c r="I115" s="218"/>
      <c r="J115" s="218"/>
    </row>
    <row r="116" spans="1:10" ht="14.1" customHeight="1" x14ac:dyDescent="0.25">
      <c r="A116" s="1"/>
      <c r="B116" s="138"/>
      <c r="C116" s="154"/>
      <c r="D116" s="154"/>
      <c r="E116" s="154"/>
      <c r="F116" s="154"/>
      <c r="G116" s="154"/>
      <c r="H116" s="154"/>
      <c r="I116" s="154"/>
      <c r="J116" s="162"/>
    </row>
    <row r="117" spans="1:10" ht="15" customHeight="1" x14ac:dyDescent="0.25">
      <c r="A117" s="1"/>
      <c r="B117" s="52"/>
      <c r="C117" s="149" t="s">
        <v>1</v>
      </c>
      <c r="D117" s="185"/>
      <c r="E117" s="149" t="s">
        <v>2</v>
      </c>
      <c r="F117" s="185"/>
      <c r="G117" s="149" t="s">
        <v>3</v>
      </c>
      <c r="H117" s="185"/>
      <c r="I117" s="178"/>
      <c r="J117" s="244"/>
    </row>
    <row r="118" spans="1:10" ht="14.1" customHeight="1" x14ac:dyDescent="0.25">
      <c r="A118" s="1"/>
      <c r="B118" s="254"/>
      <c r="C118" s="115" t="s">
        <v>6</v>
      </c>
      <c r="D118" s="114">
        <v>179367</v>
      </c>
      <c r="E118" s="99" t="s">
        <v>4</v>
      </c>
      <c r="F118" s="114">
        <v>64787</v>
      </c>
      <c r="G118" s="115" t="s">
        <v>5</v>
      </c>
      <c r="H118" s="114">
        <v>7319</v>
      </c>
      <c r="I118" s="178"/>
      <c r="J118" s="244"/>
    </row>
    <row r="119" spans="1:10" ht="14.1" customHeight="1" x14ac:dyDescent="0.25">
      <c r="A119" s="1"/>
      <c r="B119" s="254"/>
      <c r="C119" s="115" t="s">
        <v>9</v>
      </c>
      <c r="D119" s="117">
        <v>12100</v>
      </c>
      <c r="E119" s="115" t="s">
        <v>7</v>
      </c>
      <c r="F119" s="117">
        <v>66538</v>
      </c>
      <c r="G119" s="115" t="s">
        <v>8</v>
      </c>
      <c r="H119" s="117">
        <v>49904</v>
      </c>
      <c r="I119" s="178"/>
      <c r="J119" s="244"/>
    </row>
    <row r="120" spans="1:10" ht="14.1" customHeight="1" x14ac:dyDescent="0.25">
      <c r="A120" s="1"/>
      <c r="B120" s="254"/>
      <c r="C120" s="248" t="s">
        <v>58</v>
      </c>
      <c r="D120" s="117">
        <v>1650</v>
      </c>
      <c r="E120" s="115" t="s">
        <v>59</v>
      </c>
      <c r="F120" s="117">
        <v>43775</v>
      </c>
      <c r="G120" s="115" t="s">
        <v>11</v>
      </c>
      <c r="H120" s="117">
        <v>9315</v>
      </c>
      <c r="I120" s="178"/>
      <c r="J120" s="244"/>
    </row>
    <row r="121" spans="1:10" ht="14.1" customHeight="1" x14ac:dyDescent="0.25">
      <c r="A121" s="1"/>
      <c r="B121" s="153"/>
      <c r="C121" s="165"/>
      <c r="D121" s="191"/>
      <c r="E121" s="191" t="s">
        <v>60</v>
      </c>
      <c r="F121" s="117">
        <v>4267</v>
      </c>
      <c r="G121" s="115"/>
      <c r="H121" s="165"/>
      <c r="I121" s="178"/>
      <c r="J121" s="244"/>
    </row>
    <row r="122" spans="1:10" ht="12" customHeight="1" x14ac:dyDescent="0.25">
      <c r="A122" s="1"/>
      <c r="B122" s="254"/>
      <c r="C122" s="177" t="s">
        <v>49</v>
      </c>
      <c r="D122" s="212">
        <v>193117</v>
      </c>
      <c r="E122" s="112" t="s">
        <v>14</v>
      </c>
      <c r="F122" s="189">
        <v>179367</v>
      </c>
      <c r="G122" s="177" t="s">
        <v>7</v>
      </c>
      <c r="H122" s="189">
        <v>66538</v>
      </c>
      <c r="I122" s="178"/>
      <c r="J122" s="244"/>
    </row>
    <row r="123" spans="1:10" ht="12" customHeight="1" x14ac:dyDescent="0.25">
      <c r="A123" s="101"/>
      <c r="B123" s="24"/>
      <c r="C123" s="101" t="s">
        <v>127</v>
      </c>
      <c r="D123" s="101"/>
      <c r="E123" s="101"/>
      <c r="F123" s="101"/>
      <c r="G123" s="101"/>
      <c r="H123" s="101"/>
      <c r="I123" s="101"/>
      <c r="J123" s="157"/>
    </row>
    <row r="124" spans="1:10" ht="17.100000000000001" customHeight="1" x14ac:dyDescent="0.25">
      <c r="A124" s="1"/>
      <c r="B124" s="241"/>
      <c r="C124" s="272"/>
      <c r="D124" s="272"/>
      <c r="E124" s="233"/>
      <c r="F124" s="233"/>
      <c r="G124" s="233"/>
      <c r="H124" s="233"/>
      <c r="I124" s="233"/>
      <c r="J124" s="245"/>
    </row>
    <row r="125" spans="1:10" ht="25.5" customHeight="1" x14ac:dyDescent="0.25">
      <c r="A125" s="1"/>
      <c r="B125" s="254"/>
      <c r="C125" s="18" t="str">
        <f>C20</f>
        <v>KVOTE- OG FANGSTOVERSIKT</v>
      </c>
      <c r="D125" s="1"/>
      <c r="E125" s="1"/>
      <c r="F125" s="1"/>
      <c r="G125" s="1"/>
      <c r="H125" s="1"/>
      <c r="I125" s="1"/>
      <c r="J125" s="120"/>
    </row>
    <row r="126" spans="1:10" ht="53.25" customHeight="1" x14ac:dyDescent="0.25">
      <c r="A126" s="156"/>
      <c r="B126" s="52"/>
      <c r="C126" s="264" t="s">
        <v>16</v>
      </c>
      <c r="D126" s="15" t="s">
        <v>17</v>
      </c>
      <c r="E126" s="15" t="s">
        <v>61</v>
      </c>
      <c r="F126" s="15" t="s">
        <v>144</v>
      </c>
      <c r="G126" s="15" t="s">
        <v>145</v>
      </c>
      <c r="H126" s="15" t="s">
        <v>146</v>
      </c>
      <c r="I126" s="15" t="s">
        <v>147</v>
      </c>
      <c r="J126" s="280"/>
    </row>
    <row r="127" spans="1:10" ht="14.1" customHeight="1" x14ac:dyDescent="0.25">
      <c r="A127" s="1"/>
      <c r="B127" s="254"/>
      <c r="C127" s="16" t="s">
        <v>62</v>
      </c>
      <c r="D127" s="28">
        <f>D128+D129+D130</f>
        <v>64787</v>
      </c>
      <c r="E127" s="28">
        <f>E128+E129+E130</f>
        <v>72290</v>
      </c>
      <c r="F127" s="11">
        <f t="shared" ref="F127:I127" si="13">F128+F129+F130</f>
        <v>1024.8712599999999</v>
      </c>
      <c r="G127" s="11">
        <f t="shared" si="13"/>
        <v>3510.0627199999999</v>
      </c>
      <c r="H127" s="11">
        <f t="shared" si="13"/>
        <v>68779.937279999998</v>
      </c>
      <c r="I127" s="11">
        <f t="shared" si="13"/>
        <v>6978.3731899999993</v>
      </c>
      <c r="J127" s="244"/>
    </row>
    <row r="128" spans="1:10" ht="14.1" customHeight="1" x14ac:dyDescent="0.25">
      <c r="A128" s="1"/>
      <c r="B128" s="254"/>
      <c r="C128" s="44" t="s">
        <v>20</v>
      </c>
      <c r="D128" s="45">
        <v>51830</v>
      </c>
      <c r="E128" s="45">
        <v>57471</v>
      </c>
      <c r="F128" s="23">
        <f>707.90976</f>
        <v>707.90976000000001</v>
      </c>
      <c r="G128" s="23">
        <f>3136.43072</f>
        <v>3136.4307199999998</v>
      </c>
      <c r="H128" s="23">
        <f>E128-G128</f>
        <v>54334.569280000003</v>
      </c>
      <c r="I128" s="23">
        <f>6012.90569</f>
        <v>6012.9056899999996</v>
      </c>
      <c r="J128" s="244"/>
    </row>
    <row r="129" spans="1:10" ht="15" customHeight="1" x14ac:dyDescent="0.25">
      <c r="A129" s="1"/>
      <c r="B129" s="254"/>
      <c r="C129" s="44" t="s">
        <v>21</v>
      </c>
      <c r="D129" s="45">
        <v>12457</v>
      </c>
      <c r="E129" s="45">
        <v>14319</v>
      </c>
      <c r="F129" s="23">
        <f>315.4815</f>
        <v>315.48149999999998</v>
      </c>
      <c r="G129" s="23">
        <f>318.708</f>
        <v>318.70800000000003</v>
      </c>
      <c r="H129" s="23">
        <f>E129-G129</f>
        <v>14000.291999999999</v>
      </c>
      <c r="I129" s="23">
        <f>916.53525</f>
        <v>916.53525000000002</v>
      </c>
      <c r="J129" s="244"/>
    </row>
    <row r="130" spans="1:10" ht="13.5" customHeight="1" x14ac:dyDescent="0.25">
      <c r="A130" s="1"/>
      <c r="B130" s="254"/>
      <c r="C130" s="48" t="s">
        <v>63</v>
      </c>
      <c r="D130" s="33">
        <v>500</v>
      </c>
      <c r="E130" s="33">
        <v>500</v>
      </c>
      <c r="F130" s="23">
        <f>1.48</f>
        <v>1.48</v>
      </c>
      <c r="G130" s="23">
        <f>54.924</f>
        <v>54.923999999999999</v>
      </c>
      <c r="H130" s="55">
        <f>E130-G130</f>
        <v>445.07600000000002</v>
      </c>
      <c r="I130" s="23">
        <f>48.93225</f>
        <v>48.932250000000003</v>
      </c>
      <c r="J130" s="244"/>
    </row>
    <row r="131" spans="1:10" ht="14.25" customHeight="1" x14ac:dyDescent="0.25">
      <c r="A131" s="67"/>
      <c r="B131" s="78"/>
      <c r="C131" s="88" t="s">
        <v>64</v>
      </c>
      <c r="D131" s="91">
        <v>43775</v>
      </c>
      <c r="E131" s="91">
        <v>52305</v>
      </c>
      <c r="F131" s="95">
        <f>0</f>
        <v>0</v>
      </c>
      <c r="G131" s="95">
        <f>23.14235</f>
        <v>23.14235</v>
      </c>
      <c r="H131" s="95">
        <f>E131-G131</f>
        <v>52281.857649999998</v>
      </c>
      <c r="I131" s="95">
        <f>16.308</f>
        <v>16.308</v>
      </c>
      <c r="J131" s="116"/>
    </row>
    <row r="132" spans="1:10" ht="15.75" customHeight="1" x14ac:dyDescent="0.25">
      <c r="A132" s="1"/>
      <c r="B132" s="254"/>
      <c r="C132" s="142" t="s">
        <v>22</v>
      </c>
      <c r="D132" s="143">
        <f>D133+D138+D141</f>
        <v>67996</v>
      </c>
      <c r="E132" s="143">
        <f>E133+E138+E141</f>
        <v>72895</v>
      </c>
      <c r="F132" s="94">
        <f>F133+F138+F141</f>
        <v>2875.8091899999999</v>
      </c>
      <c r="G132" s="94">
        <f t="shared" ref="G132" si="14">G133+G138+G141</f>
        <v>14477.039260000001</v>
      </c>
      <c r="H132" s="94">
        <f>H133+H138+H141</f>
        <v>58417.960739999995</v>
      </c>
      <c r="I132" s="94">
        <f>I133+I138+I141</f>
        <v>18036.30141</v>
      </c>
      <c r="J132" s="120"/>
    </row>
    <row r="133" spans="1:10" ht="14.1" customHeight="1" x14ac:dyDescent="0.25">
      <c r="A133" s="1"/>
      <c r="B133" s="52"/>
      <c r="C133" s="121" t="s">
        <v>65</v>
      </c>
      <c r="D133" s="122">
        <f>D134+D135+D136+D137</f>
        <v>51362</v>
      </c>
      <c r="E133" s="122">
        <f>E134+E135+E136+E137</f>
        <v>54734</v>
      </c>
      <c r="F133" s="125">
        <f>F134+F135+F136+F137</f>
        <v>2472.2147399999999</v>
      </c>
      <c r="G133" s="125">
        <f>G134+G135+G137+G136</f>
        <v>11850.528310000002</v>
      </c>
      <c r="H133" s="125">
        <f>H134+H135+H136+H137</f>
        <v>42883.471689999998</v>
      </c>
      <c r="I133" s="125">
        <f>I134+I135+I136+I137</f>
        <v>14815.665829999998</v>
      </c>
      <c r="J133" s="280"/>
    </row>
    <row r="134" spans="1:10" ht="14.1" customHeight="1" x14ac:dyDescent="0.25">
      <c r="A134" s="197"/>
      <c r="B134" s="126"/>
      <c r="C134" s="62" t="s">
        <v>24</v>
      </c>
      <c r="D134" s="63">
        <v>13661</v>
      </c>
      <c r="E134" s="63">
        <v>16279</v>
      </c>
      <c r="F134" s="127">
        <f>684.28447</f>
        <v>684.28447000000006</v>
      </c>
      <c r="G134" s="127">
        <f>3137.41434</f>
        <v>3137.4143399999998</v>
      </c>
      <c r="H134" s="127">
        <f>E134-G134</f>
        <v>13141.585660000001</v>
      </c>
      <c r="I134" s="127">
        <f>3221.56798</f>
        <v>3221.5679799999998</v>
      </c>
      <c r="J134" s="128"/>
    </row>
    <row r="135" spans="1:10" ht="14.1" customHeight="1" x14ac:dyDescent="0.25">
      <c r="A135" s="197"/>
      <c r="B135" s="182"/>
      <c r="C135" s="62" t="s">
        <v>51</v>
      </c>
      <c r="D135" s="63">
        <v>14094</v>
      </c>
      <c r="E135" s="63">
        <v>13937</v>
      </c>
      <c r="F135" s="127">
        <f>956.93134</f>
        <v>956.93133999999998</v>
      </c>
      <c r="G135" s="127">
        <f>4146.7327</f>
        <v>4146.7326999999996</v>
      </c>
      <c r="H135" s="127">
        <f>E135-G135</f>
        <v>9790.2672999999995</v>
      </c>
      <c r="I135" s="127">
        <f>5347.72671</f>
        <v>5347.7267099999999</v>
      </c>
      <c r="J135" s="129"/>
    </row>
    <row r="136" spans="1:10" ht="14.1" customHeight="1" x14ac:dyDescent="0.25">
      <c r="A136" s="197"/>
      <c r="B136" s="182"/>
      <c r="C136" s="62" t="s">
        <v>52</v>
      </c>
      <c r="D136" s="63">
        <v>12169</v>
      </c>
      <c r="E136" s="63">
        <v>11676</v>
      </c>
      <c r="F136" s="127">
        <f>573.42456</f>
        <v>573.42456000000004</v>
      </c>
      <c r="G136" s="127">
        <f>2611.68775</f>
        <v>2611.6877500000001</v>
      </c>
      <c r="H136" s="127">
        <f>E136-G136</f>
        <v>9064.312249999999</v>
      </c>
      <c r="I136" s="127">
        <f>3284.92369</f>
        <v>3284.9236900000001</v>
      </c>
      <c r="J136" s="129"/>
    </row>
    <row r="137" spans="1:10" ht="14.1" customHeight="1" x14ac:dyDescent="0.25">
      <c r="A137" s="197"/>
      <c r="B137" s="182"/>
      <c r="C137" s="62" t="s">
        <v>27</v>
      </c>
      <c r="D137" s="63">
        <v>11438</v>
      </c>
      <c r="E137" s="63">
        <v>12842</v>
      </c>
      <c r="F137" s="127">
        <f>257.57437</f>
        <v>257.57436999999999</v>
      </c>
      <c r="G137" s="127">
        <f>1954.69352</f>
        <v>1954.69352</v>
      </c>
      <c r="H137" s="127">
        <f>E137-G137</f>
        <v>10887.306479999999</v>
      </c>
      <c r="I137" s="127">
        <f>2961.44745</f>
        <v>2961.4474500000001</v>
      </c>
      <c r="J137" s="129"/>
    </row>
    <row r="138" spans="1:10" ht="14.1" customHeight="1" x14ac:dyDescent="0.25">
      <c r="A138" s="66"/>
      <c r="B138" s="53"/>
      <c r="C138" s="56" t="s">
        <v>29</v>
      </c>
      <c r="D138" s="58">
        <f>D139+D140</f>
        <v>7319</v>
      </c>
      <c r="E138" s="58">
        <f>E139+E140</f>
        <v>7031</v>
      </c>
      <c r="F138" s="132">
        <f>SUM(F139:F140)</f>
        <v>85.922600000000003</v>
      </c>
      <c r="G138" s="132">
        <f>SUM(G139:G140)</f>
        <v>1375.48693</v>
      </c>
      <c r="H138" s="132">
        <f>H139+H140</f>
        <v>5655.51307</v>
      </c>
      <c r="I138" s="132">
        <f>SUM(I139:I140)</f>
        <v>2081.2273300000002</v>
      </c>
      <c r="J138" s="133"/>
    </row>
    <row r="139" spans="1:10" ht="14.1" customHeight="1" x14ac:dyDescent="0.25">
      <c r="A139" s="1"/>
      <c r="B139" s="254"/>
      <c r="C139" s="62" t="s">
        <v>66</v>
      </c>
      <c r="D139" s="63">
        <v>6819</v>
      </c>
      <c r="E139" s="63">
        <v>6531</v>
      </c>
      <c r="F139" s="127">
        <f>62.633</f>
        <v>62.633000000000003</v>
      </c>
      <c r="G139" s="127">
        <f>1315.76728</f>
        <v>1315.76728</v>
      </c>
      <c r="H139" s="127">
        <f t="shared" ref="H139:H147" si="15">E139-G139</f>
        <v>5215.23272</v>
      </c>
      <c r="I139" s="127">
        <f>2009.34346</f>
        <v>2009.3434600000001</v>
      </c>
      <c r="J139" s="120"/>
    </row>
    <row r="140" spans="1:10" ht="15" customHeight="1" x14ac:dyDescent="0.25">
      <c r="A140" s="1"/>
      <c r="B140" s="53"/>
      <c r="C140" s="62" t="s">
        <v>67</v>
      </c>
      <c r="D140" s="63">
        <v>500</v>
      </c>
      <c r="E140" s="63">
        <v>500</v>
      </c>
      <c r="F140" s="127">
        <f>23.2896</f>
        <v>23.2896</v>
      </c>
      <c r="G140" s="127">
        <f>59.71965</f>
        <v>59.719650000000001</v>
      </c>
      <c r="H140" s="127">
        <f t="shared" si="15"/>
        <v>440.28035</v>
      </c>
      <c r="I140" s="127">
        <f>71.88387</f>
        <v>71.883870000000002</v>
      </c>
      <c r="J140" s="134"/>
    </row>
    <row r="141" spans="1:10" ht="15.75" customHeight="1" x14ac:dyDescent="0.25">
      <c r="A141" s="1"/>
      <c r="B141" s="254"/>
      <c r="C141" s="38" t="s">
        <v>11</v>
      </c>
      <c r="D141" s="61">
        <v>9315</v>
      </c>
      <c r="E141" s="61">
        <v>11130</v>
      </c>
      <c r="F141" s="75">
        <f>317.67185</f>
        <v>317.67185000000001</v>
      </c>
      <c r="G141" s="75">
        <f>1251.02402</f>
        <v>1251.0240200000001</v>
      </c>
      <c r="H141" s="75">
        <f t="shared" si="15"/>
        <v>9878.9759799999993</v>
      </c>
      <c r="I141" s="75">
        <f>1139.40825</f>
        <v>1139.40825</v>
      </c>
      <c r="J141" s="120"/>
    </row>
    <row r="142" spans="1:10" ht="15.75" customHeight="1" x14ac:dyDescent="0.25">
      <c r="A142" s="1"/>
      <c r="B142" s="254"/>
      <c r="C142" s="142" t="s">
        <v>34</v>
      </c>
      <c r="D142" s="143">
        <v>146</v>
      </c>
      <c r="E142" s="143">
        <v>146</v>
      </c>
      <c r="F142" s="139">
        <f>2.25495</f>
        <v>2.25495</v>
      </c>
      <c r="G142" s="139">
        <f>5.1132</f>
        <v>5.1132</v>
      </c>
      <c r="H142" s="139">
        <f t="shared" si="15"/>
        <v>140.88679999999999</v>
      </c>
      <c r="I142" s="139">
        <f>1.81187</f>
        <v>1.8118700000000001</v>
      </c>
      <c r="J142" s="120"/>
    </row>
    <row r="143" spans="1:10" ht="15.75" customHeight="1" x14ac:dyDescent="0.25">
      <c r="A143" s="1"/>
      <c r="B143" s="254"/>
      <c r="C143" s="140" t="s">
        <v>68</v>
      </c>
      <c r="D143" s="89">
        <v>350</v>
      </c>
      <c r="E143" s="89">
        <v>350</v>
      </c>
      <c r="F143" s="98">
        <f>0</f>
        <v>0</v>
      </c>
      <c r="G143" s="98">
        <f>0</f>
        <v>0</v>
      </c>
      <c r="H143" s="98">
        <f t="shared" si="15"/>
        <v>350</v>
      </c>
      <c r="I143" s="98">
        <f>0</f>
        <v>0</v>
      </c>
      <c r="J143" s="120"/>
    </row>
    <row r="144" spans="1:10" ht="18" customHeight="1" x14ac:dyDescent="0.25">
      <c r="A144" s="1"/>
      <c r="B144" s="254"/>
      <c r="C144" s="140" t="s">
        <v>69</v>
      </c>
      <c r="D144" s="143">
        <v>2000</v>
      </c>
      <c r="E144" s="143">
        <v>2000</v>
      </c>
      <c r="F144" s="139">
        <f>9.57661</f>
        <v>9.5766100000000005</v>
      </c>
      <c r="G144" s="139">
        <f>E144</f>
        <v>2000</v>
      </c>
      <c r="H144" s="139">
        <f t="shared" si="15"/>
        <v>0</v>
      </c>
      <c r="I144" s="139">
        <f>E144</f>
        <v>2000</v>
      </c>
      <c r="J144" s="244"/>
    </row>
    <row r="145" spans="1:10" ht="15.75" customHeight="1" x14ac:dyDescent="0.25">
      <c r="A145" s="1"/>
      <c r="B145" s="254"/>
      <c r="C145" s="142" t="s">
        <v>37</v>
      </c>
      <c r="D145" s="143"/>
      <c r="E145" s="143"/>
      <c r="F145" s="139">
        <v>0</v>
      </c>
      <c r="G145" s="139">
        <v>0</v>
      </c>
      <c r="H145" s="139">
        <f t="shared" si="15"/>
        <v>0</v>
      </c>
      <c r="I145" s="139"/>
      <c r="J145" s="120"/>
    </row>
    <row r="146" spans="1:10" ht="15.75" customHeight="1" x14ac:dyDescent="0.25">
      <c r="A146" s="1"/>
      <c r="B146" s="254"/>
      <c r="C146" s="142" t="s">
        <v>70</v>
      </c>
      <c r="D146" s="143">
        <v>313</v>
      </c>
      <c r="E146" s="143">
        <v>313</v>
      </c>
      <c r="F146" s="98">
        <f>11.6426</f>
        <v>11.6426</v>
      </c>
      <c r="G146" s="98">
        <f>28.18575</f>
        <v>28.185749999999999</v>
      </c>
      <c r="H146" s="139">
        <f t="shared" si="15"/>
        <v>284.81425000000002</v>
      </c>
      <c r="I146" s="98">
        <f>8.1002</f>
        <v>8.1001999999999992</v>
      </c>
      <c r="J146" s="120"/>
    </row>
    <row r="147" spans="1:10" ht="15" customHeight="1" x14ac:dyDescent="0.25">
      <c r="A147" s="1"/>
      <c r="B147" s="254"/>
      <c r="C147" s="142" t="s">
        <v>39</v>
      </c>
      <c r="D147" s="145"/>
      <c r="E147" s="143"/>
      <c r="F147" s="139">
        <f>0.08</f>
        <v>0.08</v>
      </c>
      <c r="G147" s="139">
        <f>41.771</f>
        <v>41.771000000000001</v>
      </c>
      <c r="H147" s="139">
        <f t="shared" si="15"/>
        <v>-41.771000000000001</v>
      </c>
      <c r="I147" s="139">
        <f>33.8275</f>
        <v>33.827500000000001</v>
      </c>
      <c r="J147" s="120"/>
    </row>
    <row r="148" spans="1:10" ht="0" hidden="1" customHeight="1" x14ac:dyDescent="0.25">
      <c r="C148" s="148"/>
      <c r="D148" s="150"/>
      <c r="E148" s="151"/>
      <c r="F148" s="150"/>
      <c r="G148" s="150"/>
      <c r="H148" s="150"/>
      <c r="I148" s="155"/>
    </row>
    <row r="149" spans="1:10" ht="14.25" customHeight="1" x14ac:dyDescent="0.25">
      <c r="A149" s="156"/>
      <c r="B149" s="52"/>
      <c r="C149" s="158" t="s">
        <v>40</v>
      </c>
      <c r="D149" s="76">
        <f t="shared" ref="D149:E149" si="16">D127+D131+D132+D142+D143+D144+D145+D146+D147</f>
        <v>179367</v>
      </c>
      <c r="E149" s="76">
        <f t="shared" si="16"/>
        <v>200299</v>
      </c>
      <c r="F149" s="76">
        <f>F127+F131+F132+F142+F143+F144+F145+F146+F147</f>
        <v>3924.23461</v>
      </c>
      <c r="G149" s="76">
        <f>G127+G131+G132+G142+G143+G144+G145+G146+G147</f>
        <v>20085.314280000002</v>
      </c>
      <c r="H149" s="76">
        <f>H127+H131+H132+H142+H143+H144+H145+H146+H147</f>
        <v>180213.68571999998</v>
      </c>
      <c r="I149" s="76">
        <f>I127+I131+I132+I142+I143+I144+I145+I146+I147</f>
        <v>27074.722170000001</v>
      </c>
      <c r="J149" s="160"/>
    </row>
    <row r="150" spans="1:10" ht="14.25" customHeight="1" x14ac:dyDescent="0.25">
      <c r="A150" s="156"/>
      <c r="B150" s="52"/>
      <c r="C150" s="161" t="s">
        <v>71</v>
      </c>
      <c r="D150" s="119"/>
      <c r="E150" s="119"/>
      <c r="F150" s="119"/>
      <c r="G150" s="119"/>
      <c r="H150" s="163"/>
      <c r="I150" s="163"/>
      <c r="J150" s="160"/>
    </row>
    <row r="151" spans="1:10" ht="14.25" customHeight="1" x14ac:dyDescent="0.25">
      <c r="A151" s="156"/>
      <c r="B151" s="52"/>
      <c r="C151" s="101" t="s">
        <v>128</v>
      </c>
      <c r="D151" s="119"/>
      <c r="E151" s="119"/>
      <c r="F151" s="119"/>
      <c r="G151" s="119"/>
      <c r="H151" s="163"/>
      <c r="I151" s="156"/>
      <c r="J151" s="280"/>
    </row>
    <row r="152" spans="1:10" ht="14.25" customHeight="1" x14ac:dyDescent="0.25">
      <c r="A152" s="156"/>
      <c r="B152" s="52"/>
      <c r="C152" s="161" t="s">
        <v>148</v>
      </c>
      <c r="D152" s="119"/>
      <c r="E152" s="119"/>
      <c r="F152" s="119"/>
      <c r="G152" s="119"/>
      <c r="H152" s="163"/>
      <c r="I152" s="156"/>
      <c r="J152" s="280"/>
    </row>
    <row r="153" spans="1:10" ht="14.25" customHeight="1" x14ac:dyDescent="0.25">
      <c r="A153" s="156"/>
      <c r="B153" s="52"/>
      <c r="C153" s="77" t="s">
        <v>142</v>
      </c>
      <c r="D153" s="119"/>
      <c r="E153" s="119"/>
      <c r="F153" s="119"/>
      <c r="G153" s="119"/>
      <c r="H153" s="163"/>
      <c r="I153" s="163"/>
      <c r="J153" s="280"/>
    </row>
    <row r="154" spans="1:10" ht="15.75" customHeight="1" x14ac:dyDescent="0.25">
      <c r="A154" s="156"/>
      <c r="B154" s="52"/>
      <c r="C154" s="161" t="s">
        <v>133</v>
      </c>
      <c r="D154" s="119"/>
      <c r="E154" s="119"/>
      <c r="F154" s="119"/>
      <c r="G154" s="119"/>
      <c r="H154" s="163"/>
      <c r="I154" s="163"/>
      <c r="J154" s="280"/>
    </row>
    <row r="155" spans="1:10" ht="15.75" customHeight="1" x14ac:dyDescent="0.25">
      <c r="A155" s="156"/>
      <c r="B155" s="52"/>
      <c r="C155" s="77" t="s">
        <v>140</v>
      </c>
      <c r="D155" s="119"/>
      <c r="E155" s="119"/>
      <c r="F155" s="119"/>
      <c r="G155" s="119"/>
      <c r="H155" s="163"/>
      <c r="I155" s="163"/>
      <c r="J155" s="280"/>
    </row>
    <row r="156" spans="1:10" ht="12" customHeight="1" x14ac:dyDescent="0.25">
      <c r="A156" s="1"/>
      <c r="B156" s="164"/>
      <c r="C156" s="107"/>
      <c r="D156" s="167"/>
      <c r="E156" s="167"/>
      <c r="F156" s="167"/>
      <c r="G156" s="167"/>
      <c r="H156" s="107"/>
      <c r="I156" s="107"/>
      <c r="J156" s="118"/>
    </row>
    <row r="157" spans="1:10" ht="12" customHeight="1" x14ac:dyDescent="0.25">
      <c r="A157" s="1"/>
      <c r="B157" s="1"/>
      <c r="C157" s="197"/>
      <c r="D157" s="170"/>
      <c r="E157" s="170"/>
      <c r="F157" s="170"/>
      <c r="G157" s="170"/>
      <c r="H157" s="1"/>
      <c r="I157" s="1"/>
      <c r="J157" s="1"/>
    </row>
    <row r="158" spans="1:10" x14ac:dyDescent="0.2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2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ht="99.75" customHeight="1" x14ac:dyDescent="0.2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21" customHeight="1" x14ac:dyDescent="0.25">
      <c r="A161" s="1" t="s">
        <v>112</v>
      </c>
      <c r="B161" s="2"/>
      <c r="C161" s="219" t="s">
        <v>72</v>
      </c>
      <c r="D161" s="2"/>
      <c r="E161" s="2"/>
      <c r="F161" s="2"/>
      <c r="G161" s="2"/>
      <c r="H161" s="2"/>
      <c r="I161" s="2"/>
      <c r="J161" s="2"/>
    </row>
    <row r="162" spans="1:10" ht="6" customHeight="1" x14ac:dyDescent="0.25">
      <c r="A162" s="1"/>
      <c r="B162" s="2"/>
      <c r="C162" s="219"/>
      <c r="D162" s="2"/>
      <c r="E162" s="2"/>
      <c r="F162" s="2"/>
      <c r="G162" s="2"/>
      <c r="H162" s="2"/>
      <c r="I162" s="2"/>
      <c r="J162" s="2"/>
    </row>
    <row r="163" spans="1:10" ht="12" customHeight="1" x14ac:dyDescent="0.25">
      <c r="A163" s="1" t="s">
        <v>112</v>
      </c>
      <c r="B163" s="136"/>
      <c r="C163" s="174"/>
      <c r="D163" s="174"/>
      <c r="E163" s="174"/>
      <c r="F163" s="174"/>
      <c r="G163" s="174"/>
      <c r="H163" s="174"/>
      <c r="I163" s="174"/>
      <c r="J163" s="176"/>
    </row>
    <row r="164" spans="1:10" ht="14.1" customHeight="1" x14ac:dyDescent="0.25">
      <c r="A164" s="1" t="s">
        <v>112</v>
      </c>
      <c r="B164" s="254"/>
      <c r="C164" s="149" t="s">
        <v>1</v>
      </c>
      <c r="D164" s="185"/>
      <c r="E164" s="281"/>
      <c r="F164" s="281"/>
      <c r="G164" s="281"/>
      <c r="H164" s="1"/>
      <c r="I164" s="1"/>
      <c r="J164" s="120"/>
    </row>
    <row r="165" spans="1:10" ht="14.1" customHeight="1" x14ac:dyDescent="0.25">
      <c r="A165" s="1"/>
      <c r="B165" s="254"/>
      <c r="C165" s="177" t="s">
        <v>6</v>
      </c>
      <c r="D165" s="189">
        <v>9675</v>
      </c>
      <c r="E165" s="281"/>
      <c r="F165" s="281"/>
      <c r="G165" s="281"/>
      <c r="H165" s="1"/>
      <c r="I165" s="1"/>
      <c r="J165" s="120"/>
    </row>
    <row r="166" spans="1:10" ht="14.1" customHeight="1" x14ac:dyDescent="0.25">
      <c r="A166" s="1"/>
      <c r="B166" s="254"/>
      <c r="C166" s="177" t="s">
        <v>9</v>
      </c>
      <c r="D166" s="189">
        <v>8625</v>
      </c>
      <c r="E166" s="281"/>
      <c r="F166" s="281"/>
      <c r="G166" s="235"/>
      <c r="H166" s="1"/>
      <c r="I166" s="1"/>
      <c r="J166" s="120"/>
    </row>
    <row r="167" spans="1:10" ht="14.1" customHeight="1" x14ac:dyDescent="0.25">
      <c r="A167" s="1"/>
      <c r="B167" s="254"/>
      <c r="C167" s="177" t="s">
        <v>73</v>
      </c>
      <c r="D167" s="189">
        <v>700</v>
      </c>
      <c r="E167" s="281"/>
      <c r="F167" s="281"/>
      <c r="G167" s="281"/>
      <c r="H167" s="1"/>
      <c r="I167" s="1"/>
      <c r="J167" s="120"/>
    </row>
    <row r="168" spans="1:10" ht="14.1" customHeight="1" x14ac:dyDescent="0.25">
      <c r="A168" s="1"/>
      <c r="B168" s="254"/>
      <c r="C168" s="177" t="s">
        <v>49</v>
      </c>
      <c r="D168" s="189">
        <v>19000</v>
      </c>
      <c r="E168" s="281"/>
      <c r="F168" s="281"/>
      <c r="G168" s="281"/>
      <c r="H168" s="1"/>
      <c r="I168" s="1"/>
      <c r="J168" s="120"/>
    </row>
    <row r="169" spans="1:10" ht="14.1" customHeight="1" x14ac:dyDescent="0.25">
      <c r="A169" s="1"/>
      <c r="B169" s="254"/>
      <c r="C169" s="1"/>
      <c r="D169" s="47"/>
      <c r="E169" s="281"/>
      <c r="F169" s="281"/>
      <c r="G169" s="281"/>
      <c r="H169" s="1"/>
      <c r="I169" s="1"/>
      <c r="J169" s="120"/>
    </row>
    <row r="170" spans="1:10" ht="3.75" customHeight="1" x14ac:dyDescent="0.25">
      <c r="A170" s="1"/>
      <c r="B170" s="241"/>
      <c r="C170" s="159"/>
      <c r="D170" s="159"/>
      <c r="E170" s="267"/>
      <c r="F170" s="267"/>
      <c r="G170" s="267"/>
      <c r="H170" s="233"/>
      <c r="I170" s="233"/>
      <c r="J170" s="245"/>
    </row>
    <row r="171" spans="1:10" ht="24.75" customHeight="1" x14ac:dyDescent="0.25">
      <c r="A171" s="1"/>
      <c r="B171" s="254"/>
      <c r="C171" s="18" t="s">
        <v>15</v>
      </c>
      <c r="D171" s="178"/>
      <c r="E171" s="170"/>
      <c r="F171" s="170"/>
      <c r="G171" s="170"/>
      <c r="H171" s="1"/>
      <c r="I171" s="1"/>
      <c r="J171" s="120"/>
    </row>
    <row r="172" spans="1:10" ht="15.75" customHeight="1" x14ac:dyDescent="0.25">
      <c r="A172" s="1"/>
      <c r="B172" s="198"/>
      <c r="C172" s="224"/>
      <c r="D172" s="224"/>
      <c r="E172" s="224"/>
      <c r="F172" s="224"/>
      <c r="G172" s="224"/>
      <c r="H172" s="224"/>
      <c r="I172" s="224"/>
      <c r="J172" s="13"/>
    </row>
    <row r="173" spans="1:10" ht="61.5" customHeight="1" x14ac:dyDescent="0.25">
      <c r="A173" s="156"/>
      <c r="B173" s="52"/>
      <c r="C173" s="15" t="s">
        <v>16</v>
      </c>
      <c r="D173" s="175" t="s">
        <v>2</v>
      </c>
      <c r="E173" s="15" t="s">
        <v>144</v>
      </c>
      <c r="F173" s="15" t="s">
        <v>145</v>
      </c>
      <c r="G173" s="54" t="s">
        <v>146</v>
      </c>
      <c r="H173" s="15" t="s">
        <v>147</v>
      </c>
      <c r="I173" s="156"/>
      <c r="J173" s="280"/>
    </row>
    <row r="174" spans="1:10" ht="14.1" customHeight="1" x14ac:dyDescent="0.25">
      <c r="A174" s="1"/>
      <c r="B174" s="254"/>
      <c r="C174" s="141" t="s">
        <v>74</v>
      </c>
      <c r="D174" s="94">
        <v>3762</v>
      </c>
      <c r="E174" s="276">
        <f>3.60912</f>
        <v>3.6091199999999999</v>
      </c>
      <c r="F174" s="276">
        <f>149.7882</f>
        <v>149.78819999999999</v>
      </c>
      <c r="G174" s="43">
        <f>D174-F174-F175</f>
        <v>3449.1237900000001</v>
      </c>
      <c r="H174" s="276">
        <f>185.47284</f>
        <v>185.47283999999999</v>
      </c>
      <c r="I174" s="1"/>
      <c r="J174" s="120"/>
    </row>
    <row r="175" spans="1:10" ht="14.1" customHeight="1" x14ac:dyDescent="0.25">
      <c r="A175" s="1"/>
      <c r="B175" s="254"/>
      <c r="C175" s="137" t="s">
        <v>53</v>
      </c>
      <c r="D175" s="181"/>
      <c r="E175" s="152">
        <f>0</f>
        <v>0</v>
      </c>
      <c r="F175" s="152">
        <f>163.08801</f>
        <v>163.08801</v>
      </c>
      <c r="G175" s="217"/>
      <c r="H175" s="152">
        <f>72.84765</f>
        <v>72.847650000000002</v>
      </c>
      <c r="I175" s="1"/>
      <c r="J175" s="120"/>
    </row>
    <row r="176" spans="1:10" ht="15.6" customHeight="1" x14ac:dyDescent="0.25">
      <c r="A176" s="1"/>
      <c r="B176" s="254"/>
      <c r="C176" s="169" t="s">
        <v>75</v>
      </c>
      <c r="D176" s="98">
        <v>200</v>
      </c>
      <c r="E176" s="172">
        <f>0</f>
        <v>0</v>
      </c>
      <c r="F176" s="172">
        <f>0.4161</f>
        <v>0.41610000000000003</v>
      </c>
      <c r="G176" s="172">
        <f>D176-F176</f>
        <v>199.5839</v>
      </c>
      <c r="H176" s="172">
        <f>0.55114</f>
        <v>0.55113999999999996</v>
      </c>
      <c r="I176" s="1"/>
      <c r="J176" s="120"/>
    </row>
    <row r="177" spans="1:10" ht="14.1" customHeight="1" x14ac:dyDescent="0.25">
      <c r="A177" s="67"/>
      <c r="B177" s="78"/>
      <c r="C177" s="180" t="s">
        <v>76</v>
      </c>
      <c r="D177" s="181">
        <v>5642</v>
      </c>
      <c r="E177" s="181">
        <f>E178+E179+E180</f>
        <v>11.3285</v>
      </c>
      <c r="F177" s="181">
        <f>F178+F179+F180</f>
        <v>25.1312</v>
      </c>
      <c r="G177" s="181">
        <f>D177-F177</f>
        <v>5616.8688000000002</v>
      </c>
      <c r="H177" s="181">
        <f>H178+H179+H180</f>
        <v>5.62432</v>
      </c>
      <c r="I177" s="67"/>
      <c r="J177" s="116"/>
    </row>
    <row r="178" spans="1:10" ht="14.1" customHeight="1" x14ac:dyDescent="0.25">
      <c r="A178" s="197"/>
      <c r="B178" s="182"/>
      <c r="C178" s="183" t="s">
        <v>77</v>
      </c>
      <c r="D178" s="127"/>
      <c r="E178" s="127">
        <f>2.52</f>
        <v>2.52</v>
      </c>
      <c r="F178" s="127">
        <f>7.2264</f>
        <v>7.2263999999999999</v>
      </c>
      <c r="G178" s="127"/>
      <c r="H178" s="127">
        <f>1.4169</f>
        <v>1.4169</v>
      </c>
      <c r="I178" s="186"/>
      <c r="J178" s="129"/>
    </row>
    <row r="179" spans="1:10" ht="14.1" customHeight="1" x14ac:dyDescent="0.25">
      <c r="A179" s="197"/>
      <c r="B179" s="182"/>
      <c r="C179" s="183" t="s">
        <v>78</v>
      </c>
      <c r="D179" s="127"/>
      <c r="E179" s="127">
        <f>4.9425</f>
        <v>4.9424999999999999</v>
      </c>
      <c r="F179" s="127">
        <f>8.6209</f>
        <v>8.6209000000000007</v>
      </c>
      <c r="G179" s="127"/>
      <c r="H179" s="127">
        <f>1.0401</f>
        <v>1.0401</v>
      </c>
      <c r="I179" s="186"/>
      <c r="J179" s="187"/>
    </row>
    <row r="180" spans="1:10" ht="14.1" customHeight="1" x14ac:dyDescent="0.25">
      <c r="A180" s="197"/>
      <c r="B180" s="182"/>
      <c r="C180" s="188" t="s">
        <v>79</v>
      </c>
      <c r="D180" s="192"/>
      <c r="E180" s="192">
        <f>3.866</f>
        <v>3.8660000000000001</v>
      </c>
      <c r="F180" s="192">
        <f>9.2839</f>
        <v>9.2838999999999992</v>
      </c>
      <c r="G180" s="192"/>
      <c r="H180" s="192">
        <f>3.16732</f>
        <v>3.1673200000000001</v>
      </c>
      <c r="I180" s="186"/>
      <c r="J180" s="187"/>
    </row>
    <row r="181" spans="1:10" ht="14.1" customHeight="1" x14ac:dyDescent="0.25">
      <c r="A181" s="1"/>
      <c r="B181" s="254"/>
      <c r="C181" s="73" t="s">
        <v>80</v>
      </c>
      <c r="D181" s="139">
        <v>71</v>
      </c>
      <c r="E181" s="139">
        <f>0</f>
        <v>0</v>
      </c>
      <c r="F181" s="139">
        <f>0</f>
        <v>0</v>
      </c>
      <c r="G181" s="139">
        <f>D181-F181</f>
        <v>71</v>
      </c>
      <c r="H181" s="139">
        <f>0</f>
        <v>0</v>
      </c>
      <c r="I181" s="178"/>
      <c r="J181" s="244"/>
    </row>
    <row r="182" spans="1:10" ht="16.5" customHeight="1" x14ac:dyDescent="0.25">
      <c r="A182" s="1"/>
      <c r="B182" s="254"/>
      <c r="C182" s="93" t="s">
        <v>81</v>
      </c>
      <c r="D182" s="193"/>
      <c r="E182" s="94">
        <f>0</f>
        <v>0</v>
      </c>
      <c r="F182" s="94">
        <f>0</f>
        <v>0</v>
      </c>
      <c r="G182" s="94">
        <f>D182-F182</f>
        <v>0</v>
      </c>
      <c r="H182" s="94">
        <f>0</f>
        <v>0</v>
      </c>
      <c r="I182" s="178"/>
      <c r="J182" s="244"/>
    </row>
    <row r="183" spans="1:10" ht="19.350000000000001" customHeight="1" x14ac:dyDescent="0.25">
      <c r="A183" s="156"/>
      <c r="B183" s="52"/>
      <c r="C183" s="74" t="s">
        <v>40</v>
      </c>
      <c r="D183" s="194">
        <f>D174+D176+D177+D181</f>
        <v>9675</v>
      </c>
      <c r="E183" s="194">
        <f>E174+E175+E176+E177+E181+E182</f>
        <v>14.937619999999999</v>
      </c>
      <c r="F183" s="194">
        <f>F174+F175+F176+F177+F181+F182</f>
        <v>338.42350999999996</v>
      </c>
      <c r="G183" s="194">
        <f>D183-F183</f>
        <v>9336.5764899999995</v>
      </c>
      <c r="H183" s="194">
        <f>H174+H175+H176+H177+H181+H182</f>
        <v>264.49594999999999</v>
      </c>
      <c r="I183" s="163"/>
      <c r="J183" s="160"/>
    </row>
    <row r="184" spans="1:10" ht="42" customHeight="1" x14ac:dyDescent="0.25">
      <c r="A184" s="1"/>
      <c r="B184" s="198"/>
      <c r="C184" s="227" t="s">
        <v>134</v>
      </c>
      <c r="D184" s="227"/>
      <c r="E184" s="227"/>
      <c r="F184" s="227"/>
      <c r="G184" s="227"/>
      <c r="H184" s="224"/>
      <c r="I184" s="224"/>
      <c r="J184" s="13"/>
    </row>
    <row r="185" spans="1:10" ht="12" customHeight="1" x14ac:dyDescent="0.25">
      <c r="A185" s="156" t="s">
        <v>112</v>
      </c>
      <c r="B185" s="195"/>
      <c r="C185" s="107"/>
      <c r="D185" s="107"/>
      <c r="E185" s="107"/>
      <c r="F185" s="107"/>
      <c r="G185" s="107"/>
      <c r="H185" s="196"/>
      <c r="I185" s="199"/>
      <c r="J185" s="200"/>
    </row>
    <row r="186" spans="1:10" ht="10.5" customHeight="1" x14ac:dyDescent="0.25">
      <c r="A186" s="150"/>
      <c r="B186" s="1"/>
      <c r="C186" s="197"/>
      <c r="D186" s="170"/>
      <c r="E186" s="170"/>
      <c r="F186" s="170"/>
      <c r="G186" s="170"/>
      <c r="H186" s="1"/>
      <c r="I186" s="1"/>
      <c r="J186" s="1"/>
    </row>
    <row r="187" spans="1:10" ht="10.5" customHeight="1" x14ac:dyDescent="0.25">
      <c r="A187" s="150" t="s">
        <v>112</v>
      </c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21.75" customHeight="1" x14ac:dyDescent="0.35">
      <c r="A188" s="150"/>
      <c r="B188" s="1"/>
      <c r="C188" s="215" t="s">
        <v>82</v>
      </c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35">
      <c r="A189" s="150" t="s">
        <v>112</v>
      </c>
      <c r="B189" s="1"/>
      <c r="C189" s="215"/>
      <c r="D189" s="170"/>
      <c r="E189" s="170"/>
      <c r="F189" s="170"/>
      <c r="G189" s="170"/>
      <c r="H189" s="1"/>
      <c r="I189" s="1"/>
      <c r="J189" s="1"/>
    </row>
    <row r="190" spans="1:10" ht="12" customHeight="1" x14ac:dyDescent="0.25">
      <c r="A190" s="150"/>
      <c r="B190" s="138"/>
      <c r="C190" s="226"/>
      <c r="D190" s="237"/>
      <c r="E190" s="237"/>
      <c r="F190" s="237"/>
      <c r="G190" s="237"/>
      <c r="H190" s="154"/>
      <c r="I190" s="154"/>
      <c r="J190" s="162"/>
    </row>
    <row r="191" spans="1:10" ht="15" customHeight="1" x14ac:dyDescent="0.25">
      <c r="A191" s="150"/>
      <c r="B191" s="254"/>
      <c r="C191" s="149" t="s">
        <v>1</v>
      </c>
      <c r="D191" s="185"/>
      <c r="E191" s="150"/>
      <c r="F191" s="150"/>
      <c r="G191" s="170"/>
      <c r="H191" s="1"/>
      <c r="I191" s="1"/>
      <c r="J191" s="120"/>
    </row>
    <row r="192" spans="1:10" ht="15" customHeight="1" x14ac:dyDescent="0.25">
      <c r="A192" s="150"/>
      <c r="B192" s="254"/>
      <c r="C192" s="259" t="s">
        <v>83</v>
      </c>
      <c r="D192" s="270">
        <v>44278</v>
      </c>
      <c r="E192" s="150"/>
      <c r="F192" s="150"/>
      <c r="G192" s="170"/>
      <c r="H192" s="1"/>
      <c r="I192" s="1"/>
      <c r="J192" s="120"/>
    </row>
    <row r="193" spans="1:10" ht="15" customHeight="1" x14ac:dyDescent="0.25">
      <c r="A193" s="150"/>
      <c r="B193" s="254"/>
      <c r="C193" s="248" t="s">
        <v>84</v>
      </c>
      <c r="D193" s="46">
        <v>15194</v>
      </c>
      <c r="E193" s="150"/>
      <c r="F193" s="150"/>
      <c r="G193" s="170"/>
      <c r="H193" s="1"/>
      <c r="I193" s="1"/>
      <c r="J193" s="120"/>
    </row>
    <row r="194" spans="1:10" ht="18" customHeight="1" x14ac:dyDescent="0.25">
      <c r="A194" s="150"/>
      <c r="B194" s="254"/>
      <c r="C194" s="248" t="s">
        <v>85</v>
      </c>
      <c r="D194" s="46">
        <v>6719</v>
      </c>
      <c r="E194" s="150"/>
      <c r="F194" s="150"/>
      <c r="G194" s="170"/>
      <c r="H194" s="1"/>
      <c r="I194" s="1"/>
      <c r="J194" s="120"/>
    </row>
    <row r="195" spans="1:10" ht="11.25" customHeight="1" x14ac:dyDescent="0.25">
      <c r="A195" s="150"/>
      <c r="B195" s="254"/>
      <c r="C195" s="57" t="s">
        <v>49</v>
      </c>
      <c r="D195" s="35">
        <v>67191</v>
      </c>
      <c r="E195" s="150"/>
      <c r="F195" s="150"/>
      <c r="G195" s="170"/>
      <c r="H195" s="1"/>
      <c r="I195" s="1"/>
      <c r="J195" s="120"/>
    </row>
    <row r="196" spans="1:10" ht="12" customHeight="1" x14ac:dyDescent="0.25">
      <c r="A196" s="1"/>
      <c r="B196" s="254"/>
      <c r="C196" s="101" t="s">
        <v>135</v>
      </c>
      <c r="D196" s="170"/>
      <c r="E196" s="170"/>
      <c r="F196" s="170"/>
      <c r="G196" s="170"/>
      <c r="H196" s="1"/>
      <c r="I196" s="1"/>
      <c r="J196" s="120"/>
    </row>
    <row r="197" spans="1:10" ht="10.5" customHeight="1" x14ac:dyDescent="0.25">
      <c r="A197" s="1"/>
      <c r="B197" s="254"/>
      <c r="C197" s="101" t="s">
        <v>136</v>
      </c>
      <c r="D197" s="170"/>
      <c r="E197" s="170"/>
      <c r="F197" s="170"/>
      <c r="G197" s="170"/>
      <c r="H197" s="1"/>
      <c r="I197" s="1"/>
      <c r="J197" s="120"/>
    </row>
    <row r="198" spans="1:10" ht="12" customHeight="1" x14ac:dyDescent="0.25">
      <c r="A198" s="1"/>
      <c r="B198" s="254"/>
      <c r="C198" s="101" t="s">
        <v>137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25">
      <c r="A199" s="1"/>
      <c r="B199" s="241"/>
      <c r="C199" s="267"/>
      <c r="D199" s="159"/>
      <c r="E199" s="159"/>
      <c r="F199" s="267"/>
      <c r="G199" s="267"/>
      <c r="H199" s="267"/>
      <c r="I199" s="233"/>
      <c r="J199" s="245"/>
    </row>
    <row r="200" spans="1:10" ht="23.25" customHeight="1" x14ac:dyDescent="0.25">
      <c r="A200" s="1"/>
      <c r="B200" s="254"/>
      <c r="C200" s="18" t="s">
        <v>15</v>
      </c>
      <c r="D200" s="170"/>
      <c r="E200" s="170"/>
      <c r="F200" s="170"/>
      <c r="G200" s="1"/>
      <c r="H200" s="1"/>
      <c r="I200" s="1"/>
      <c r="J200" s="120"/>
    </row>
    <row r="201" spans="1:10" ht="15" customHeight="1" x14ac:dyDescent="0.25">
      <c r="A201" s="1"/>
      <c r="B201" s="254"/>
      <c r="C201" s="101"/>
      <c r="D201" s="170"/>
      <c r="E201" s="170"/>
      <c r="F201" s="170"/>
      <c r="G201" s="170"/>
      <c r="H201" s="1"/>
      <c r="I201" s="1"/>
      <c r="J201" s="120"/>
    </row>
    <row r="202" spans="1:10" ht="48.75" customHeight="1" x14ac:dyDescent="0.25">
      <c r="A202" s="1"/>
      <c r="B202" s="254"/>
      <c r="C202" s="68" t="s">
        <v>16</v>
      </c>
      <c r="D202" s="79" t="s">
        <v>2</v>
      </c>
      <c r="E202" s="68" t="s">
        <v>144</v>
      </c>
      <c r="F202" s="68" t="s">
        <v>145</v>
      </c>
      <c r="G202" s="68" t="s">
        <v>146</v>
      </c>
      <c r="H202" s="68" t="s">
        <v>147</v>
      </c>
      <c r="I202" s="1"/>
      <c r="J202" s="120"/>
    </row>
    <row r="203" spans="1:10" ht="15" customHeight="1" x14ac:dyDescent="0.25">
      <c r="A203" s="1"/>
      <c r="B203" s="254"/>
      <c r="C203" s="90" t="s">
        <v>4</v>
      </c>
      <c r="D203" s="124">
        <v>44142</v>
      </c>
      <c r="E203" s="124">
        <f>380.89777</f>
        <v>380.89776999999998</v>
      </c>
      <c r="F203" s="124">
        <f>11438.13297</f>
        <v>11438.132970000001</v>
      </c>
      <c r="G203" s="124">
        <f>D203-F203</f>
        <v>32703.867030000001</v>
      </c>
      <c r="H203" s="124">
        <f>8459.2489</f>
        <v>8459.2489000000005</v>
      </c>
      <c r="I203" s="248"/>
      <c r="J203" s="120"/>
    </row>
    <row r="204" spans="1:10" ht="15" customHeight="1" x14ac:dyDescent="0.25">
      <c r="A204" s="1"/>
      <c r="B204" s="254"/>
      <c r="C204" s="90" t="s">
        <v>67</v>
      </c>
      <c r="D204" s="124">
        <v>100</v>
      </c>
      <c r="E204" s="124">
        <f>0.608</f>
        <v>0.60799999999999998</v>
      </c>
      <c r="F204" s="124">
        <f>2.1249</f>
        <v>2.1248999999999998</v>
      </c>
      <c r="G204" s="124">
        <f>D204-F204</f>
        <v>97.875100000000003</v>
      </c>
      <c r="H204" s="124">
        <f>0.58522</f>
        <v>0.58521999999999996</v>
      </c>
      <c r="I204" s="248"/>
      <c r="J204" s="120"/>
    </row>
    <row r="205" spans="1:10" ht="15.75" customHeight="1" x14ac:dyDescent="0.25">
      <c r="A205" s="1"/>
      <c r="B205" s="254"/>
      <c r="C205" s="146" t="s">
        <v>80</v>
      </c>
      <c r="D205" s="168">
        <v>36</v>
      </c>
      <c r="E205" s="139">
        <f>0</f>
        <v>0</v>
      </c>
      <c r="F205" s="139">
        <f>0</f>
        <v>0</v>
      </c>
      <c r="G205" s="139">
        <f>D205-F205</f>
        <v>36</v>
      </c>
      <c r="H205" s="139">
        <f>0</f>
        <v>0</v>
      </c>
      <c r="I205" s="248"/>
      <c r="J205" s="120"/>
    </row>
    <row r="206" spans="1:10" ht="16.5" customHeight="1" x14ac:dyDescent="0.25">
      <c r="A206" s="1"/>
      <c r="B206" s="254"/>
      <c r="C206" s="179" t="s">
        <v>86</v>
      </c>
      <c r="D206" s="190">
        <f>SUM(D203:D205)</f>
        <v>44278</v>
      </c>
      <c r="E206" s="190">
        <f>SUM(E203:E205)</f>
        <v>381.50576999999998</v>
      </c>
      <c r="F206" s="190">
        <f>SUM(F203:F205)</f>
        <v>11440.257870000001</v>
      </c>
      <c r="G206" s="190">
        <f>D206-F206</f>
        <v>32837.742129999999</v>
      </c>
      <c r="H206" s="190">
        <f>SUM(H203:H205)</f>
        <v>8459.8341200000013</v>
      </c>
      <c r="I206" s="248"/>
      <c r="J206" s="120"/>
    </row>
    <row r="207" spans="1:10" ht="17.100000000000001" customHeight="1" x14ac:dyDescent="0.25">
      <c r="A207" s="1"/>
      <c r="B207" s="164"/>
      <c r="C207" s="201" t="s">
        <v>87</v>
      </c>
      <c r="D207" s="107"/>
      <c r="E207" s="107"/>
      <c r="F207" s="209"/>
      <c r="G207" s="209"/>
      <c r="H207" s="209"/>
      <c r="I207" s="209"/>
      <c r="J207" s="216"/>
    </row>
    <row r="208" spans="1:10" ht="0" hidden="1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17.100000000000001" customHeight="1" x14ac:dyDescent="0.25">
      <c r="A241" s="1" t="s">
        <v>112</v>
      </c>
      <c r="B241" s="1"/>
      <c r="C241" s="1"/>
      <c r="D241" s="1"/>
      <c r="E241" s="1"/>
      <c r="F241" s="1"/>
      <c r="G241" s="1"/>
      <c r="H241" s="1"/>
      <c r="I241" s="1"/>
      <c r="J241" s="218"/>
    </row>
    <row r="242" spans="1:10" ht="21.75" customHeight="1" x14ac:dyDescent="0.35">
      <c r="A242" s="150"/>
      <c r="B242" s="1"/>
      <c r="C242" s="215" t="s">
        <v>113</v>
      </c>
      <c r="D242" s="170"/>
      <c r="E242" s="170"/>
      <c r="F242" s="170"/>
      <c r="G242" s="170"/>
      <c r="H242" s="1"/>
      <c r="I242" s="1"/>
      <c r="J242" s="1"/>
    </row>
    <row r="243" spans="1:10" ht="21.75" customHeight="1" x14ac:dyDescent="0.35">
      <c r="A243" s="150" t="s">
        <v>112</v>
      </c>
      <c r="B243" s="1"/>
      <c r="C243" s="215"/>
      <c r="D243" s="170"/>
      <c r="E243" s="170"/>
      <c r="F243" s="170"/>
      <c r="G243" s="170"/>
      <c r="H243" s="1"/>
      <c r="I243" s="1"/>
      <c r="J243" s="1"/>
    </row>
    <row r="244" spans="1:10" ht="12" customHeight="1" x14ac:dyDescent="0.25">
      <c r="A244" s="150"/>
      <c r="B244" s="138"/>
      <c r="C244" s="226"/>
      <c r="D244" s="237"/>
      <c r="E244" s="237"/>
      <c r="F244" s="237"/>
      <c r="G244" s="237"/>
      <c r="H244" s="154"/>
      <c r="I244" s="154"/>
      <c r="J244" s="162"/>
    </row>
    <row r="245" spans="1:10" ht="23.25" customHeight="1" x14ac:dyDescent="0.25">
      <c r="A245" s="1"/>
      <c r="B245" s="254"/>
      <c r="C245" s="18" t="s">
        <v>15</v>
      </c>
      <c r="D245" s="170"/>
      <c r="E245" s="170"/>
      <c r="F245" s="170"/>
      <c r="G245" s="1"/>
      <c r="H245" s="1"/>
      <c r="I245" s="1"/>
      <c r="J245" s="120"/>
    </row>
    <row r="246" spans="1:10" ht="15" customHeight="1" x14ac:dyDescent="0.25">
      <c r="A246" s="1"/>
      <c r="B246" s="254"/>
      <c r="C246" s="101"/>
      <c r="D246" s="170"/>
      <c r="E246" s="170"/>
      <c r="F246" s="170"/>
      <c r="G246" s="170"/>
      <c r="H246" s="1"/>
      <c r="I246" s="1"/>
      <c r="J246" s="120"/>
    </row>
    <row r="247" spans="1:10" ht="48.75" customHeight="1" x14ac:dyDescent="0.25">
      <c r="A247" s="1"/>
      <c r="B247" s="254"/>
      <c r="C247" s="68" t="s">
        <v>16</v>
      </c>
      <c r="D247" s="79" t="s">
        <v>2</v>
      </c>
      <c r="E247" s="68" t="s">
        <v>144</v>
      </c>
      <c r="F247" s="68" t="s">
        <v>145</v>
      </c>
      <c r="G247" s="68" t="s">
        <v>146</v>
      </c>
      <c r="H247" s="68" t="s">
        <v>147</v>
      </c>
      <c r="I247" s="1"/>
      <c r="J247" s="120"/>
    </row>
    <row r="248" spans="1:10" ht="15" customHeight="1" x14ac:dyDescent="0.25">
      <c r="A248" s="1"/>
      <c r="B248" s="254"/>
      <c r="C248" s="90" t="s">
        <v>116</v>
      </c>
      <c r="D248" s="124">
        <v>3987</v>
      </c>
      <c r="E248" s="75">
        <f>E249+E250</f>
        <v>95.199179999999998</v>
      </c>
      <c r="F248" s="75">
        <f>F249+F250</f>
        <v>425.39661000000001</v>
      </c>
      <c r="G248" s="75">
        <f>D248-F248</f>
        <v>3561.6033900000002</v>
      </c>
      <c r="H248" s="75">
        <f>H249+H250</f>
        <v>417.71384</v>
      </c>
      <c r="I248" s="248"/>
      <c r="J248" s="120"/>
    </row>
    <row r="249" spans="1:10" ht="15" customHeight="1" x14ac:dyDescent="0.25">
      <c r="A249" s="1"/>
      <c r="B249" s="254"/>
      <c r="C249" s="177" t="s">
        <v>8</v>
      </c>
      <c r="D249" s="124"/>
      <c r="E249" s="75">
        <f>82.7132</f>
        <v>82.713200000000001</v>
      </c>
      <c r="F249" s="75">
        <f>354.00572</f>
        <v>354.00572</v>
      </c>
      <c r="G249" s="75"/>
      <c r="H249" s="75">
        <f>340.25302</f>
        <v>340.25301999999999</v>
      </c>
      <c r="I249" s="248"/>
      <c r="J249" s="120"/>
    </row>
    <row r="250" spans="1:10" ht="15" customHeight="1" x14ac:dyDescent="0.25">
      <c r="A250" s="1"/>
      <c r="B250" s="254"/>
      <c r="C250" s="177" t="s">
        <v>67</v>
      </c>
      <c r="D250" s="124"/>
      <c r="E250" s="124">
        <f>12.48598</f>
        <v>12.48598</v>
      </c>
      <c r="F250" s="124">
        <f>71.39089</f>
        <v>71.390889999999999</v>
      </c>
      <c r="G250" s="168"/>
      <c r="H250" s="124">
        <f>77.46082</f>
        <v>77.460819999999998</v>
      </c>
      <c r="I250" s="248"/>
      <c r="J250" s="120"/>
    </row>
    <row r="251" spans="1:10" ht="15" customHeight="1" x14ac:dyDescent="0.25">
      <c r="A251" s="1"/>
      <c r="B251" s="254"/>
      <c r="C251" s="90" t="s">
        <v>117</v>
      </c>
      <c r="D251" s="124">
        <v>4613</v>
      </c>
      <c r="E251" s="75">
        <f>102.70389</f>
        <v>102.70389</v>
      </c>
      <c r="F251" s="75">
        <f>517.61268</f>
        <v>517.61267999999995</v>
      </c>
      <c r="G251" s="75">
        <f>D251-F251</f>
        <v>4095.3873199999998</v>
      </c>
      <c r="H251" s="75">
        <f>616.22863</f>
        <v>616.22862999999995</v>
      </c>
      <c r="I251" s="248"/>
      <c r="J251" s="120"/>
    </row>
    <row r="252" spans="1:10" ht="16.5" customHeight="1" x14ac:dyDescent="0.25">
      <c r="A252" s="1"/>
      <c r="B252" s="254"/>
      <c r="C252" s="179" t="s">
        <v>86</v>
      </c>
      <c r="D252" s="190">
        <f>D251+D248</f>
        <v>8600</v>
      </c>
      <c r="E252" s="190">
        <f>SUM(E248,E251)</f>
        <v>197.90307000000001</v>
      </c>
      <c r="F252" s="190">
        <f>SUM(F248,F251)</f>
        <v>943.00928999999996</v>
      </c>
      <c r="G252" s="190">
        <f>D252-F252</f>
        <v>7656.99071</v>
      </c>
      <c r="H252" s="190">
        <f>SUM(H248,H251)</f>
        <v>1033.94247</v>
      </c>
      <c r="I252" s="248"/>
      <c r="J252" s="120"/>
    </row>
    <row r="253" spans="1:10" ht="17.100000000000001" customHeight="1" x14ac:dyDescent="0.25">
      <c r="A253" s="1"/>
      <c r="B253" s="164"/>
      <c r="C253" s="201"/>
      <c r="D253" s="107"/>
      <c r="E253" s="107"/>
      <c r="F253" s="209"/>
      <c r="G253" s="209"/>
      <c r="H253" s="209"/>
      <c r="I253" s="209"/>
      <c r="J253" s="216"/>
    </row>
    <row r="254" spans="1:10" ht="0" hidden="1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7.100000000000001" customHeight="1" x14ac:dyDescent="0.25">
      <c r="A287" s="1" t="s">
        <v>112</v>
      </c>
      <c r="B287" s="1"/>
      <c r="C287" s="1"/>
      <c r="D287" s="1"/>
      <c r="E287" s="1"/>
      <c r="F287" s="1"/>
      <c r="G287" s="1"/>
      <c r="H287" s="1"/>
      <c r="I287" s="1"/>
      <c r="J287" s="218"/>
    </row>
    <row r="288" spans="1:10" ht="21.75" customHeight="1" x14ac:dyDescent="0.35">
      <c r="A288" s="150"/>
      <c r="B288" s="1"/>
      <c r="C288" s="215" t="s">
        <v>114</v>
      </c>
      <c r="D288" s="170"/>
      <c r="E288" s="170"/>
      <c r="F288" s="170"/>
      <c r="G288" s="170"/>
      <c r="H288" s="1"/>
      <c r="I288" s="1"/>
      <c r="J288" s="1"/>
    </row>
    <row r="289" spans="1:10" ht="21.75" customHeight="1" x14ac:dyDescent="0.35">
      <c r="A289" s="150" t="s">
        <v>112</v>
      </c>
      <c r="B289" s="1"/>
      <c r="C289" s="215"/>
      <c r="D289" s="170"/>
      <c r="E289" s="170"/>
      <c r="F289" s="170"/>
      <c r="G289" s="170"/>
      <c r="H289" s="1"/>
      <c r="I289" s="1"/>
      <c r="J289" s="1"/>
    </row>
    <row r="290" spans="1:10" ht="12" customHeight="1" x14ac:dyDescent="0.25">
      <c r="A290" s="150"/>
      <c r="B290" s="138"/>
      <c r="C290" s="226"/>
      <c r="D290" s="237"/>
      <c r="E290" s="237"/>
      <c r="F290" s="237"/>
      <c r="G290" s="237"/>
      <c r="H290" s="154"/>
      <c r="I290" s="154"/>
      <c r="J290" s="162"/>
    </row>
    <row r="291" spans="1:10" ht="23.25" customHeight="1" x14ac:dyDescent="0.25">
      <c r="A291" s="1"/>
      <c r="B291" s="254"/>
      <c r="C291" s="18" t="s">
        <v>15</v>
      </c>
      <c r="D291" s="170"/>
      <c r="E291" s="170"/>
      <c r="F291" s="170"/>
      <c r="G291" s="1"/>
      <c r="H291" s="1"/>
      <c r="I291" s="1"/>
      <c r="J291" s="120"/>
    </row>
    <row r="292" spans="1:10" ht="15" customHeight="1" x14ac:dyDescent="0.25">
      <c r="A292" s="1"/>
      <c r="B292" s="254"/>
      <c r="C292" s="101"/>
      <c r="D292" s="170"/>
      <c r="E292" s="170"/>
      <c r="F292" s="170"/>
      <c r="G292" s="170"/>
      <c r="H292" s="1"/>
      <c r="I292" s="1"/>
      <c r="J292" s="120"/>
    </row>
    <row r="293" spans="1:10" ht="48.75" customHeight="1" x14ac:dyDescent="0.25">
      <c r="A293" s="1"/>
      <c r="B293" s="254"/>
      <c r="C293" s="68" t="s">
        <v>16</v>
      </c>
      <c r="D293" s="79" t="s">
        <v>2</v>
      </c>
      <c r="E293" s="68" t="s">
        <v>144</v>
      </c>
      <c r="F293" s="68" t="s">
        <v>145</v>
      </c>
      <c r="G293" s="68" t="s">
        <v>146</v>
      </c>
      <c r="H293" s="68" t="s">
        <v>147</v>
      </c>
      <c r="I293" s="1"/>
      <c r="J293" s="120"/>
    </row>
    <row r="294" spans="1:10" ht="15" customHeight="1" x14ac:dyDescent="0.25">
      <c r="A294" s="1"/>
      <c r="B294" s="254"/>
      <c r="C294" s="90" t="s">
        <v>116</v>
      </c>
      <c r="D294" s="124">
        <v>5090</v>
      </c>
      <c r="E294" s="75">
        <f>E295+E296</f>
        <v>101.0625</v>
      </c>
      <c r="F294" s="75">
        <f>F295+F296</f>
        <v>586.44095000000004</v>
      </c>
      <c r="G294" s="75">
        <f>D294-F294</f>
        <v>4503.5590499999998</v>
      </c>
      <c r="H294" s="75">
        <f>H295+H296</f>
        <v>364.18584000000004</v>
      </c>
      <c r="I294" s="248"/>
      <c r="J294" s="120"/>
    </row>
    <row r="295" spans="1:10" ht="15" customHeight="1" x14ac:dyDescent="0.25">
      <c r="A295" s="1"/>
      <c r="B295" s="254"/>
      <c r="C295" s="177" t="s">
        <v>8</v>
      </c>
      <c r="D295" s="124"/>
      <c r="E295" s="75">
        <f>95.2758</f>
        <v>95.275800000000004</v>
      </c>
      <c r="F295" s="75">
        <f>557.83846</f>
        <v>557.83846000000005</v>
      </c>
      <c r="G295" s="75"/>
      <c r="H295" s="75">
        <f>315.50722</f>
        <v>315.50722000000002</v>
      </c>
      <c r="I295" s="248"/>
      <c r="J295" s="120"/>
    </row>
    <row r="296" spans="1:10" ht="15" customHeight="1" x14ac:dyDescent="0.25">
      <c r="A296" s="1"/>
      <c r="B296" s="254"/>
      <c r="C296" s="177" t="s">
        <v>67</v>
      </c>
      <c r="D296" s="124"/>
      <c r="E296" s="124">
        <f>5.7867</f>
        <v>5.7866999999999997</v>
      </c>
      <c r="F296" s="124">
        <f>28.60249</f>
        <v>28.60249</v>
      </c>
      <c r="G296" s="168"/>
      <c r="H296" s="124">
        <f>48.67862</f>
        <v>48.678620000000002</v>
      </c>
      <c r="I296" s="248"/>
      <c r="J296" s="120"/>
    </row>
    <row r="297" spans="1:10" ht="15" customHeight="1" x14ac:dyDescent="0.25">
      <c r="A297" s="1"/>
      <c r="B297" s="254"/>
      <c r="C297" s="90" t="s">
        <v>117</v>
      </c>
      <c r="D297" s="124">
        <v>2981</v>
      </c>
      <c r="E297" s="75">
        <f>65.84616</f>
        <v>65.846159999999998</v>
      </c>
      <c r="F297" s="75">
        <f>517.19099</f>
        <v>517.19099000000006</v>
      </c>
      <c r="G297" s="75">
        <f>D297-F297</f>
        <v>2463.8090099999999</v>
      </c>
      <c r="H297" s="75">
        <f>464.1506</f>
        <v>464.1506</v>
      </c>
      <c r="I297" s="248"/>
      <c r="J297" s="120"/>
    </row>
    <row r="298" spans="1:10" ht="16.5" customHeight="1" x14ac:dyDescent="0.25">
      <c r="A298" s="1"/>
      <c r="B298" s="254"/>
      <c r="C298" s="179" t="s">
        <v>86</v>
      </c>
      <c r="D298" s="190">
        <f>D297+D294</f>
        <v>8071</v>
      </c>
      <c r="E298" s="190">
        <f>SUM(E294,E297)</f>
        <v>166.90866</v>
      </c>
      <c r="F298" s="190">
        <f>SUM(F294,F297)</f>
        <v>1103.6319400000002</v>
      </c>
      <c r="G298" s="190">
        <f>D298-F298</f>
        <v>6967.3680599999998</v>
      </c>
      <c r="H298" s="190">
        <f>SUM(H294,H297)</f>
        <v>828.33644000000004</v>
      </c>
      <c r="I298" s="248"/>
      <c r="J298" s="120"/>
    </row>
    <row r="299" spans="1:10" ht="17.100000000000001" customHeight="1" x14ac:dyDescent="0.25">
      <c r="A299" s="1"/>
      <c r="B299" s="164"/>
      <c r="C299" s="201"/>
      <c r="D299" s="107"/>
      <c r="E299" s="107"/>
      <c r="F299" s="209"/>
      <c r="G299" s="209"/>
      <c r="H299" s="209"/>
      <c r="I299" s="209"/>
      <c r="J299" s="216"/>
    </row>
    <row r="300" spans="1:10" ht="0" hidden="1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61.5" customHeight="1" x14ac:dyDescent="0.25">
      <c r="A333" s="1" t="s">
        <v>112</v>
      </c>
      <c r="B333" s="1"/>
      <c r="C333" s="1"/>
      <c r="D333" s="1"/>
      <c r="E333" s="1"/>
      <c r="F333" s="1"/>
      <c r="G333" s="1"/>
      <c r="H333" s="1"/>
      <c r="I333" s="1"/>
      <c r="J333" s="218"/>
    </row>
    <row r="334" spans="1:10" ht="30" customHeight="1" x14ac:dyDescent="0.25">
      <c r="A334" s="218"/>
      <c r="B334" s="218"/>
      <c r="C334" s="219" t="s">
        <v>88</v>
      </c>
      <c r="D334" s="218"/>
      <c r="E334" s="218"/>
      <c r="F334" s="218"/>
      <c r="G334" s="218"/>
      <c r="H334" s="218"/>
      <c r="I334" s="218"/>
      <c r="J334" s="224"/>
    </row>
    <row r="335" spans="1:10" ht="30" customHeight="1" x14ac:dyDescent="0.25">
      <c r="A335" s="218" t="s">
        <v>112</v>
      </c>
      <c r="B335" s="218"/>
      <c r="C335" s="219"/>
      <c r="D335" s="218"/>
      <c r="E335" s="218"/>
      <c r="F335" s="218"/>
      <c r="G335" s="218"/>
      <c r="H335" s="218"/>
      <c r="I335" s="218"/>
      <c r="J335" s="224"/>
    </row>
    <row r="336" spans="1:10" ht="14.1" customHeight="1" x14ac:dyDescent="0.25">
      <c r="A336" s="1"/>
      <c r="B336" s="136"/>
      <c r="C336" s="174"/>
      <c r="D336" s="174"/>
      <c r="E336" s="174"/>
      <c r="F336" s="174"/>
      <c r="G336" s="174"/>
      <c r="H336" s="174"/>
      <c r="I336" s="174"/>
      <c r="J336" s="162"/>
    </row>
    <row r="337" spans="1:10" ht="14.1" customHeight="1" x14ac:dyDescent="0.25">
      <c r="A337" s="156"/>
      <c r="B337" s="52"/>
      <c r="C337" s="149" t="s">
        <v>1</v>
      </c>
      <c r="D337" s="185"/>
      <c r="E337" s="150"/>
      <c r="F337" s="150"/>
      <c r="G337" s="156"/>
      <c r="H337" s="156"/>
      <c r="I337" s="156"/>
      <c r="J337" s="120"/>
    </row>
    <row r="338" spans="1:10" ht="14.1" customHeight="1" x14ac:dyDescent="0.25">
      <c r="A338" s="1"/>
      <c r="B338" s="254"/>
      <c r="C338" s="259" t="s">
        <v>83</v>
      </c>
      <c r="D338" s="270">
        <v>3003</v>
      </c>
      <c r="E338" s="150"/>
      <c r="F338" s="225"/>
      <c r="G338" s="1"/>
      <c r="H338" s="1"/>
      <c r="I338" s="1"/>
      <c r="J338" s="120"/>
    </row>
    <row r="339" spans="1:10" ht="14.1" customHeight="1" x14ac:dyDescent="0.25">
      <c r="A339" s="1"/>
      <c r="B339" s="254"/>
      <c r="C339" s="248" t="s">
        <v>89</v>
      </c>
      <c r="D339" s="46">
        <v>9419</v>
      </c>
      <c r="E339" s="150"/>
      <c r="F339" s="225"/>
      <c r="G339" s="1"/>
      <c r="H339" s="1"/>
      <c r="I339" s="1"/>
      <c r="J339" s="120"/>
    </row>
    <row r="340" spans="1:10" ht="14.1" customHeight="1" x14ac:dyDescent="0.25">
      <c r="A340" s="1"/>
      <c r="B340" s="254"/>
      <c r="C340" s="248" t="s">
        <v>90</v>
      </c>
      <c r="D340" s="46">
        <v>7106</v>
      </c>
      <c r="E340" s="150"/>
      <c r="F340" s="225"/>
      <c r="G340" s="1"/>
      <c r="H340" s="1"/>
      <c r="I340" s="1"/>
      <c r="J340" s="120"/>
    </row>
    <row r="341" spans="1:10" ht="13.5" customHeight="1" x14ac:dyDescent="0.25">
      <c r="A341" s="1"/>
      <c r="B341" s="254"/>
      <c r="C341" s="248" t="s">
        <v>118</v>
      </c>
      <c r="D341" s="46">
        <v>382</v>
      </c>
      <c r="E341" s="150"/>
      <c r="F341" s="225"/>
      <c r="G341" s="1"/>
      <c r="H341" s="1"/>
      <c r="I341" s="1"/>
      <c r="J341" s="120"/>
    </row>
    <row r="342" spans="1:10" ht="14.25" customHeight="1" x14ac:dyDescent="0.25">
      <c r="A342" s="1"/>
      <c r="B342" s="254"/>
      <c r="C342" s="57" t="s">
        <v>49</v>
      </c>
      <c r="D342" s="35">
        <f>SUM(D338:D341)</f>
        <v>19910</v>
      </c>
      <c r="E342" s="150"/>
      <c r="F342" s="150"/>
      <c r="G342" s="1"/>
      <c r="H342" s="1"/>
      <c r="I342" s="1"/>
      <c r="J342" s="120"/>
    </row>
    <row r="343" spans="1:10" ht="14.1" customHeight="1" x14ac:dyDescent="0.25">
      <c r="A343" s="1"/>
      <c r="B343" s="254"/>
      <c r="C343" s="228" t="s">
        <v>91</v>
      </c>
      <c r="D343" s="229"/>
      <c r="E343" s="178"/>
      <c r="F343" s="178"/>
      <c r="G343" s="1"/>
      <c r="H343" s="1"/>
      <c r="I343" s="1"/>
      <c r="J343" s="120"/>
    </row>
    <row r="344" spans="1:10" ht="15" customHeight="1" x14ac:dyDescent="0.25">
      <c r="A344" s="1"/>
      <c r="B344" s="254"/>
      <c r="C344" s="101" t="s">
        <v>101</v>
      </c>
      <c r="D344" s="230"/>
      <c r="E344" s="1"/>
      <c r="F344" s="1"/>
      <c r="G344" s="1"/>
      <c r="H344" s="1"/>
      <c r="I344" s="1"/>
      <c r="J344" s="120"/>
    </row>
    <row r="345" spans="1:10" ht="14.25" customHeight="1" x14ac:dyDescent="0.25">
      <c r="A345" s="1"/>
      <c r="B345" s="254"/>
      <c r="C345" s="101"/>
      <c r="D345" s="1"/>
      <c r="E345" s="1"/>
      <c r="F345" s="1"/>
      <c r="G345" s="1"/>
      <c r="H345" s="1"/>
      <c r="I345" s="1"/>
      <c r="J345" s="120"/>
    </row>
    <row r="346" spans="1:10" ht="23.25" customHeight="1" x14ac:dyDescent="0.25">
      <c r="A346" s="1"/>
      <c r="B346" s="231"/>
      <c r="C346" s="234" t="s">
        <v>15</v>
      </c>
      <c r="D346" s="234"/>
      <c r="E346" s="234"/>
      <c r="F346" s="234"/>
      <c r="G346" s="234"/>
      <c r="H346" s="234"/>
      <c r="I346" s="234"/>
      <c r="J346" s="238"/>
    </row>
    <row r="347" spans="1:10" ht="14.1" customHeight="1" x14ac:dyDescent="0.25">
      <c r="A347" s="1"/>
      <c r="B347" s="240"/>
      <c r="C347" s="242"/>
      <c r="D347" s="242"/>
      <c r="E347" s="242"/>
      <c r="F347" s="242"/>
      <c r="G347" s="242"/>
      <c r="H347" s="242"/>
      <c r="I347" s="242"/>
      <c r="J347" s="120"/>
    </row>
    <row r="348" spans="1:10" ht="54" customHeight="1" x14ac:dyDescent="0.25">
      <c r="A348" s="1"/>
      <c r="B348" s="254"/>
      <c r="C348" s="68" t="s">
        <v>16</v>
      </c>
      <c r="D348" s="243" t="s">
        <v>2</v>
      </c>
      <c r="E348" s="68" t="s">
        <v>144</v>
      </c>
      <c r="F348" s="68" t="s">
        <v>145</v>
      </c>
      <c r="G348" s="68" t="s">
        <v>146</v>
      </c>
      <c r="H348" s="68" t="s">
        <v>147</v>
      </c>
      <c r="I348" s="1"/>
      <c r="J348" s="116"/>
    </row>
    <row r="349" spans="1:10" ht="14.1" customHeight="1" x14ac:dyDescent="0.25">
      <c r="A349" s="67"/>
      <c r="B349" s="78"/>
      <c r="C349" s="90" t="s">
        <v>92</v>
      </c>
      <c r="D349" s="124">
        <v>800</v>
      </c>
      <c r="E349" s="124">
        <f>4.57173</f>
        <v>4.5717299999999996</v>
      </c>
      <c r="F349" s="124">
        <f>56.91658</f>
        <v>56.916580000000003</v>
      </c>
      <c r="G349" s="124">
        <f>D349-F349</f>
        <v>743.08342000000005</v>
      </c>
      <c r="H349" s="124">
        <f>52.37207</f>
        <v>52.372070000000001</v>
      </c>
      <c r="I349" s="67"/>
      <c r="J349" s="244"/>
    </row>
    <row r="350" spans="1:10" ht="14.1" customHeight="1" x14ac:dyDescent="0.25">
      <c r="A350" s="1"/>
      <c r="B350" s="254"/>
      <c r="C350" s="90" t="s">
        <v>93</v>
      </c>
      <c r="D350" s="246">
        <v>2193</v>
      </c>
      <c r="E350" s="124">
        <f>12.58626</f>
        <v>12.586259999999999</v>
      </c>
      <c r="F350" s="124">
        <f>139.53254</f>
        <v>139.53254000000001</v>
      </c>
      <c r="G350" s="124">
        <f>D350-F350</f>
        <v>2053.4674599999998</v>
      </c>
      <c r="H350" s="124">
        <f>214.70384</f>
        <v>214.70384000000001</v>
      </c>
      <c r="I350" s="178"/>
      <c r="J350" s="116"/>
    </row>
    <row r="351" spans="1:10" ht="16.5" customHeight="1" x14ac:dyDescent="0.25">
      <c r="A351" s="67"/>
      <c r="B351" s="78"/>
      <c r="C351" s="146" t="s">
        <v>80</v>
      </c>
      <c r="D351" s="246">
        <v>10</v>
      </c>
      <c r="E351" s="168">
        <f>0</f>
        <v>0</v>
      </c>
      <c r="F351" s="168">
        <f>0.027</f>
        <v>2.7E-2</v>
      </c>
      <c r="G351" s="124">
        <f>D351-F351</f>
        <v>9.9730000000000008</v>
      </c>
      <c r="H351" s="168">
        <f>0.61006</f>
        <v>0.61006000000000005</v>
      </c>
      <c r="I351" s="67"/>
      <c r="J351" s="249"/>
    </row>
    <row r="352" spans="1:10" ht="18.75" customHeight="1" x14ac:dyDescent="0.25">
      <c r="A352" s="67"/>
      <c r="B352" s="250"/>
      <c r="C352" s="146" t="s">
        <v>94</v>
      </c>
      <c r="D352" s="222"/>
      <c r="E352" s="168">
        <f>0</f>
        <v>0</v>
      </c>
      <c r="F352" s="168">
        <f>0</f>
        <v>0</v>
      </c>
      <c r="G352" s="124">
        <f>D352-F352</f>
        <v>0</v>
      </c>
      <c r="H352" s="168">
        <f>0</f>
        <v>0</v>
      </c>
      <c r="I352" s="284"/>
      <c r="J352" s="120"/>
    </row>
    <row r="353" spans="1:10" ht="14.1" customHeight="1" x14ac:dyDescent="0.25">
      <c r="A353" s="1"/>
      <c r="B353" s="254"/>
      <c r="C353" s="179" t="s">
        <v>86</v>
      </c>
      <c r="D353" s="6">
        <f>D338</f>
        <v>3003</v>
      </c>
      <c r="E353" s="190">
        <f>SUM(E349:E352)</f>
        <v>17.157989999999998</v>
      </c>
      <c r="F353" s="190">
        <f>SUM(F349:F352)</f>
        <v>196.47612000000001</v>
      </c>
      <c r="G353" s="190">
        <f>D353-F353</f>
        <v>2806.5238800000002</v>
      </c>
      <c r="H353" s="190">
        <f>H349+H350+H351+H352</f>
        <v>267.68597</v>
      </c>
      <c r="I353" s="1"/>
      <c r="J353" s="120"/>
    </row>
    <row r="354" spans="1:10" ht="14.1" customHeight="1" x14ac:dyDescent="0.25">
      <c r="A354" s="1"/>
      <c r="B354" s="254"/>
      <c r="C354" s="21"/>
      <c r="D354" s="34"/>
      <c r="E354" s="34"/>
      <c r="F354" s="34"/>
      <c r="G354" s="34"/>
      <c r="H354" s="34"/>
      <c r="I354" s="1"/>
      <c r="J354" s="120"/>
    </row>
    <row r="355" spans="1:10" ht="14.1" customHeight="1" x14ac:dyDescent="0.25">
      <c r="A355" s="1"/>
      <c r="B355" s="164"/>
      <c r="C355" s="107"/>
      <c r="D355" s="107"/>
      <c r="E355" s="107"/>
      <c r="F355" s="107"/>
      <c r="G355" s="106"/>
      <c r="H355" s="107"/>
      <c r="I355" s="107"/>
      <c r="J355" s="118"/>
    </row>
    <row r="356" spans="1:10" ht="14.1" customHeight="1" x14ac:dyDescent="0.25">
      <c r="A356" s="1"/>
      <c r="C356" s="150" t="s">
        <v>112</v>
      </c>
    </row>
    <row r="357" spans="1:10" ht="14.1" customHeight="1" x14ac:dyDescent="0.25">
      <c r="A357" s="1" t="s">
        <v>112</v>
      </c>
    </row>
    <row r="358" spans="1:10" ht="14.1" customHeight="1" x14ac:dyDescent="0.25">
      <c r="A358" s="1" t="s">
        <v>112</v>
      </c>
    </row>
    <row r="359" spans="1:10" ht="14.1" customHeight="1" x14ac:dyDescent="0.25">
      <c r="A359" s="1"/>
      <c r="C359" s="150" t="s">
        <v>112</v>
      </c>
    </row>
    <row r="360" spans="1:10" x14ac:dyDescent="0.25">
      <c r="A360" s="1"/>
      <c r="C360" s="150" t="s">
        <v>112</v>
      </c>
    </row>
    <row r="361" spans="1:10" ht="14.1" customHeight="1" x14ac:dyDescent="0.25">
      <c r="A361" s="1"/>
      <c r="C361" s="150" t="s">
        <v>112</v>
      </c>
    </row>
    <row r="362" spans="1:10" ht="14.1" customHeight="1" x14ac:dyDescent="0.25">
      <c r="A362" s="1"/>
      <c r="C362" s="150" t="s">
        <v>112</v>
      </c>
    </row>
    <row r="363" spans="1:10" ht="30" customHeight="1" x14ac:dyDescent="0.35">
      <c r="A363" s="218"/>
      <c r="B363" s="1"/>
      <c r="C363" s="215" t="s">
        <v>95</v>
      </c>
      <c r="D363" s="156"/>
      <c r="E363" s="1"/>
      <c r="F363" s="1"/>
      <c r="G363" s="1"/>
      <c r="H363" s="1"/>
      <c r="I363" s="1"/>
      <c r="J363" s="1"/>
    </row>
    <row r="364" spans="1:10" ht="17.100000000000001" customHeight="1" x14ac:dyDescent="0.25">
      <c r="B364" s="123"/>
      <c r="C364" s="239"/>
      <c r="D364" s="239"/>
      <c r="E364" s="239"/>
      <c r="F364" s="239"/>
      <c r="G364" s="239"/>
      <c r="H364" s="239"/>
      <c r="I364" s="239"/>
      <c r="J364" s="60"/>
    </row>
    <row r="365" spans="1:10" ht="6" customHeight="1" x14ac:dyDescent="0.25">
      <c r="B365" s="72"/>
      <c r="C365" s="150"/>
      <c r="D365" s="150"/>
      <c r="E365" s="150"/>
      <c r="F365" s="150"/>
      <c r="G365" s="150"/>
      <c r="H365" s="150"/>
      <c r="I365" s="150"/>
      <c r="J365" s="130"/>
    </row>
    <row r="366" spans="1:10" ht="18" customHeight="1" x14ac:dyDescent="0.25">
      <c r="B366" s="72"/>
      <c r="C366" s="149" t="s">
        <v>1</v>
      </c>
      <c r="D366" s="185"/>
      <c r="E366" s="149" t="s">
        <v>96</v>
      </c>
      <c r="F366" s="185"/>
      <c r="G366" s="149" t="s">
        <v>97</v>
      </c>
      <c r="H366" s="185"/>
      <c r="I366" s="150"/>
      <c r="J366" s="130"/>
    </row>
    <row r="367" spans="1:10" ht="14.25" customHeight="1" x14ac:dyDescent="0.25">
      <c r="B367" s="72"/>
      <c r="C367" s="259" t="s">
        <v>83</v>
      </c>
      <c r="D367" s="270">
        <f>37252+1500-880</f>
        <v>37872</v>
      </c>
      <c r="E367" s="252" t="s">
        <v>4</v>
      </c>
      <c r="F367" s="103">
        <v>24359</v>
      </c>
      <c r="G367" s="248" t="s">
        <v>20</v>
      </c>
      <c r="H367" s="46">
        <v>14132</v>
      </c>
      <c r="I367" s="150"/>
      <c r="J367" s="130"/>
    </row>
    <row r="368" spans="1:10" ht="14.25" customHeight="1" x14ac:dyDescent="0.25">
      <c r="B368" s="72"/>
      <c r="C368" s="248" t="s">
        <v>90</v>
      </c>
      <c r="D368" s="46">
        <f>25446+880-1500</f>
        <v>24826</v>
      </c>
      <c r="E368" s="178" t="s">
        <v>93</v>
      </c>
      <c r="F368" s="47">
        <v>8000</v>
      </c>
      <c r="G368" s="248" t="s">
        <v>21</v>
      </c>
      <c r="H368" s="46">
        <v>3678</v>
      </c>
      <c r="I368" s="150"/>
      <c r="J368" s="130"/>
    </row>
    <row r="369" spans="1:10" ht="14.25" customHeight="1" x14ac:dyDescent="0.25">
      <c r="B369" s="72"/>
      <c r="C369" s="248" t="s">
        <v>89</v>
      </c>
      <c r="D369" s="46">
        <v>8940</v>
      </c>
      <c r="E369" s="178" t="s">
        <v>59</v>
      </c>
      <c r="F369" s="47">
        <v>5500</v>
      </c>
      <c r="G369" s="248" t="s">
        <v>98</v>
      </c>
      <c r="H369" s="46">
        <v>5043</v>
      </c>
      <c r="I369" s="150"/>
      <c r="J369" s="130"/>
    </row>
    <row r="370" spans="1:10" ht="14.1" customHeight="1" x14ac:dyDescent="0.25">
      <c r="B370" s="72"/>
      <c r="C370" s="248"/>
      <c r="D370" s="46"/>
      <c r="E370" s="131"/>
      <c r="F370" s="144"/>
      <c r="G370" s="248" t="s">
        <v>99</v>
      </c>
      <c r="H370" s="46">
        <v>1506</v>
      </c>
      <c r="I370" s="150"/>
      <c r="J370" s="130"/>
    </row>
    <row r="371" spans="1:10" ht="14.1" customHeight="1" x14ac:dyDescent="0.25">
      <c r="B371" s="72"/>
      <c r="C371" s="57" t="s">
        <v>49</v>
      </c>
      <c r="D371" s="35">
        <v>71638</v>
      </c>
      <c r="E371" s="173" t="s">
        <v>100</v>
      </c>
      <c r="F371" s="35">
        <f>F367+F368+F369</f>
        <v>37859</v>
      </c>
      <c r="G371" s="57" t="s">
        <v>4</v>
      </c>
      <c r="H371" s="35">
        <f>SUM(H367:H370)</f>
        <v>24359</v>
      </c>
      <c r="I371" s="150"/>
      <c r="J371" s="130"/>
    </row>
    <row r="372" spans="1:10" ht="13.35" customHeight="1" x14ac:dyDescent="0.25">
      <c r="B372" s="72"/>
      <c r="C372" s="210" t="s">
        <v>129</v>
      </c>
      <c r="D372" s="178"/>
      <c r="E372" s="178"/>
      <c r="F372" s="178"/>
      <c r="G372" s="1"/>
      <c r="H372" s="178"/>
      <c r="I372" s="178"/>
      <c r="J372" s="244"/>
    </row>
    <row r="373" spans="1:10" ht="13.35" customHeight="1" x14ac:dyDescent="0.25">
      <c r="B373" s="72"/>
      <c r="C373" s="211" t="s">
        <v>119</v>
      </c>
      <c r="D373" s="1"/>
      <c r="E373" s="1"/>
      <c r="F373" s="1"/>
      <c r="G373" s="1"/>
      <c r="H373" s="1"/>
      <c r="I373" s="178"/>
      <c r="J373" s="120"/>
    </row>
    <row r="374" spans="1:10" ht="9.75" customHeight="1" x14ac:dyDescent="0.25">
      <c r="B374" s="72"/>
      <c r="C374" s="101"/>
      <c r="D374" s="1"/>
      <c r="E374" s="1"/>
      <c r="F374" s="1"/>
      <c r="G374" s="1"/>
      <c r="H374" s="1"/>
      <c r="I374" s="1"/>
      <c r="J374" s="120"/>
    </row>
    <row r="375" spans="1:10" ht="18" customHeight="1" x14ac:dyDescent="0.25">
      <c r="B375" s="72"/>
      <c r="C375" s="150"/>
      <c r="D375" s="150"/>
      <c r="E375" s="150"/>
      <c r="F375" s="150"/>
      <c r="G375" s="150"/>
      <c r="H375" s="150"/>
      <c r="I375" s="150"/>
      <c r="J375" s="130"/>
    </row>
    <row r="376" spans="1:10" ht="29.25" customHeight="1" x14ac:dyDescent="0.25">
      <c r="B376" s="231"/>
      <c r="C376" s="234" t="s">
        <v>15</v>
      </c>
      <c r="D376" s="234"/>
      <c r="E376" s="234"/>
      <c r="F376" s="234"/>
      <c r="G376" s="234"/>
      <c r="H376" s="234"/>
      <c r="I376" s="234"/>
      <c r="J376" s="238"/>
    </row>
    <row r="377" spans="1:10" ht="18.75" customHeight="1" x14ac:dyDescent="0.25">
      <c r="B377" s="198"/>
      <c r="C377" s="224"/>
      <c r="D377" s="224"/>
      <c r="E377" s="224"/>
      <c r="F377" s="224"/>
      <c r="G377" s="224"/>
      <c r="H377" s="224"/>
      <c r="I377" s="224"/>
      <c r="J377" s="13"/>
    </row>
    <row r="378" spans="1:10" ht="64.5" customHeight="1" x14ac:dyDescent="0.25">
      <c r="B378" s="72"/>
      <c r="C378" s="223" t="s">
        <v>16</v>
      </c>
      <c r="D378" s="232" t="s">
        <v>17</v>
      </c>
      <c r="E378" s="68" t="s">
        <v>139</v>
      </c>
      <c r="F378" s="223" t="s">
        <v>144</v>
      </c>
      <c r="G378" s="223" t="s">
        <v>145</v>
      </c>
      <c r="H378" s="223" t="s">
        <v>146</v>
      </c>
      <c r="I378" s="223" t="s">
        <v>147</v>
      </c>
      <c r="J378" s="130"/>
    </row>
    <row r="379" spans="1:10" ht="14.1" customHeight="1" x14ac:dyDescent="0.25">
      <c r="A379" s="218"/>
      <c r="B379" s="72"/>
      <c r="C379" s="247" t="s">
        <v>19</v>
      </c>
      <c r="D379" s="251">
        <f t="shared" ref="D379:I379" si="17">D383+D382+D381+D380</f>
        <v>24359</v>
      </c>
      <c r="E379" s="251">
        <f t="shared" si="17"/>
        <v>24359</v>
      </c>
      <c r="F379" s="253">
        <f t="shared" si="17"/>
        <v>15.112589999999999</v>
      </c>
      <c r="G379" s="253">
        <f t="shared" si="17"/>
        <v>274.96960999999999</v>
      </c>
      <c r="H379" s="253">
        <f>H383+H382+H381+H380</f>
        <v>24084.03039</v>
      </c>
      <c r="I379" s="253">
        <f t="shared" si="17"/>
        <v>472.30969000000005</v>
      </c>
      <c r="J379" s="130"/>
    </row>
    <row r="380" spans="1:10" ht="14.1" customHeight="1" x14ac:dyDescent="0.25">
      <c r="A380" s="218"/>
      <c r="B380" s="72"/>
      <c r="C380" s="255" t="s">
        <v>102</v>
      </c>
      <c r="D380" s="256">
        <v>14132</v>
      </c>
      <c r="E380" s="256">
        <v>14132</v>
      </c>
      <c r="F380" s="257">
        <f>4.07619</f>
        <v>4.0761900000000004</v>
      </c>
      <c r="G380" s="257">
        <f>29.07434</f>
        <v>29.074339999999999</v>
      </c>
      <c r="H380" s="257">
        <f t="shared" ref="H380:H384" si="18">E380-G380</f>
        <v>14102.925660000001</v>
      </c>
      <c r="I380" s="257">
        <f>184.24486</f>
        <v>184.24485999999999</v>
      </c>
      <c r="J380" s="130"/>
    </row>
    <row r="381" spans="1:10" ht="14.1" customHeight="1" x14ac:dyDescent="0.25">
      <c r="A381" s="218"/>
      <c r="B381" s="72"/>
      <c r="C381" s="260" t="s">
        <v>21</v>
      </c>
      <c r="D381" s="256">
        <v>3678</v>
      </c>
      <c r="E381" s="256">
        <v>3678</v>
      </c>
      <c r="F381" s="257">
        <f>0</f>
        <v>0</v>
      </c>
      <c r="G381" s="257">
        <f>0</f>
        <v>0</v>
      </c>
      <c r="H381" s="257">
        <f t="shared" si="18"/>
        <v>3678</v>
      </c>
      <c r="I381" s="257">
        <f>0</f>
        <v>0</v>
      </c>
      <c r="J381" s="130"/>
    </row>
    <row r="382" spans="1:10" ht="14.1" customHeight="1" x14ac:dyDescent="0.25">
      <c r="A382" s="218"/>
      <c r="B382" s="72"/>
      <c r="C382" s="260" t="s">
        <v>99</v>
      </c>
      <c r="D382" s="256">
        <v>1506</v>
      </c>
      <c r="E382" s="256">
        <v>1506</v>
      </c>
      <c r="F382" s="257">
        <f>8.8296</f>
        <v>8.8295999999999992</v>
      </c>
      <c r="G382" s="257">
        <f>210.65567</f>
        <v>210.65566999999999</v>
      </c>
      <c r="H382" s="257">
        <f t="shared" si="18"/>
        <v>1295.3443299999999</v>
      </c>
      <c r="I382" s="257">
        <f>274.48703</f>
        <v>274.48703</v>
      </c>
      <c r="J382" s="130"/>
    </row>
    <row r="383" spans="1:10" ht="14.1" customHeight="1" x14ac:dyDescent="0.25">
      <c r="A383" s="218"/>
      <c r="B383" s="72"/>
      <c r="C383" s="262" t="s">
        <v>122</v>
      </c>
      <c r="D383" s="263">
        <v>5043</v>
      </c>
      <c r="E383" s="263">
        <v>5043</v>
      </c>
      <c r="F383" s="257">
        <f>2.2068</f>
        <v>2.2067999999999999</v>
      </c>
      <c r="G383" s="257">
        <f>35.2396</f>
        <v>35.239600000000003</v>
      </c>
      <c r="H383" s="257">
        <f t="shared" si="18"/>
        <v>5007.7604000000001</v>
      </c>
      <c r="I383" s="257">
        <f>13.5778</f>
        <v>13.5778</v>
      </c>
      <c r="J383" s="130"/>
    </row>
    <row r="384" spans="1:10" ht="14.1" customHeight="1" x14ac:dyDescent="0.25">
      <c r="A384" s="218"/>
      <c r="B384" s="72"/>
      <c r="C384" s="265" t="s">
        <v>59</v>
      </c>
      <c r="D384" s="266">
        <v>5500</v>
      </c>
      <c r="E384" s="266">
        <v>5500</v>
      </c>
      <c r="F384" s="268">
        <f>0</f>
        <v>0</v>
      </c>
      <c r="G384" s="268">
        <f>19.88</f>
        <v>19.88</v>
      </c>
      <c r="H384" s="268">
        <f t="shared" si="18"/>
        <v>5480.12</v>
      </c>
      <c r="I384" s="268">
        <f>0.898</f>
        <v>0.89800000000000002</v>
      </c>
      <c r="J384" s="130"/>
    </row>
    <row r="385" spans="1:10" ht="14.1" customHeight="1" x14ac:dyDescent="0.25">
      <c r="A385" s="218"/>
      <c r="B385" s="72"/>
      <c r="C385" s="247" t="s">
        <v>22</v>
      </c>
      <c r="D385" s="251">
        <v>8000</v>
      </c>
      <c r="E385" s="251">
        <v>8000</v>
      </c>
      <c r="F385" s="269">
        <f>F387+F386</f>
        <v>141.12657999999999</v>
      </c>
      <c r="G385" s="269">
        <f>G387+G386</f>
        <v>451.14715000000001</v>
      </c>
      <c r="H385" s="269">
        <f>E385-G385</f>
        <v>7548.8528500000002</v>
      </c>
      <c r="I385" s="269">
        <f>I387+I386</f>
        <v>471.79118999999997</v>
      </c>
      <c r="J385" s="130"/>
    </row>
    <row r="386" spans="1:10" ht="14.1" customHeight="1" x14ac:dyDescent="0.25">
      <c r="A386" s="218"/>
      <c r="B386" s="72"/>
      <c r="C386" s="260" t="s">
        <v>53</v>
      </c>
      <c r="D386" s="271"/>
      <c r="E386" s="256"/>
      <c r="F386" s="257">
        <f>0</f>
        <v>0</v>
      </c>
      <c r="G386" s="257">
        <f>0</f>
        <v>0</v>
      </c>
      <c r="H386" s="257"/>
      <c r="I386" s="257">
        <f>0</f>
        <v>0</v>
      </c>
      <c r="J386" s="130"/>
    </row>
    <row r="387" spans="1:10" ht="14.1" customHeight="1" x14ac:dyDescent="0.25">
      <c r="A387" s="218"/>
      <c r="B387" s="72"/>
      <c r="C387" s="273" t="s">
        <v>103</v>
      </c>
      <c r="D387" s="274"/>
      <c r="E387" s="277"/>
      <c r="F387" s="278">
        <f>141.12658</f>
        <v>141.12657999999999</v>
      </c>
      <c r="G387" s="278">
        <f>451.14715</f>
        <v>451.14715000000001</v>
      </c>
      <c r="H387" s="278"/>
      <c r="I387" s="278">
        <f>471.79119</f>
        <v>471.79118999999997</v>
      </c>
      <c r="J387" s="130"/>
    </row>
    <row r="388" spans="1:10" ht="14.1" customHeight="1" x14ac:dyDescent="0.25">
      <c r="A388" s="218"/>
      <c r="B388" s="72"/>
      <c r="C388" s="265" t="s">
        <v>34</v>
      </c>
      <c r="D388" s="266">
        <v>13</v>
      </c>
      <c r="E388" s="266">
        <v>13</v>
      </c>
      <c r="F388" s="268">
        <f>0</f>
        <v>0</v>
      </c>
      <c r="G388" s="268">
        <f>0.0108</f>
        <v>1.0800000000000001E-2</v>
      </c>
      <c r="H388" s="268">
        <f>E388-G388</f>
        <v>12.9892</v>
      </c>
      <c r="I388" s="268">
        <f>0.0264</f>
        <v>2.64E-2</v>
      </c>
      <c r="J388" s="130"/>
    </row>
    <row r="389" spans="1:10" ht="14.1" customHeight="1" x14ac:dyDescent="0.25">
      <c r="A389" s="218"/>
      <c r="B389" s="72"/>
      <c r="C389" s="279" t="s">
        <v>104</v>
      </c>
      <c r="D389" s="282"/>
      <c r="E389" s="283"/>
      <c r="F389" s="268">
        <f>0.05801</f>
        <v>5.8009999999999999E-2</v>
      </c>
      <c r="G389" s="268">
        <f>2.97141</f>
        <v>2.9714100000000001</v>
      </c>
      <c r="H389" s="268">
        <f>E389-G389</f>
        <v>-2.9714100000000001</v>
      </c>
      <c r="I389" s="268">
        <f>2.45552</f>
        <v>2.4555199999999999</v>
      </c>
      <c r="J389" s="130"/>
    </row>
    <row r="390" spans="1:10" ht="19.5" customHeight="1" x14ac:dyDescent="0.25">
      <c r="A390" s="218"/>
      <c r="B390" s="72"/>
      <c r="C390" s="285" t="s">
        <v>40</v>
      </c>
      <c r="D390" s="286">
        <f>D379+D384+D385+D388+D389</f>
        <v>37872</v>
      </c>
      <c r="E390" s="286">
        <f>E379+E384+E385+E388+E389</f>
        <v>37872</v>
      </c>
      <c r="F390" s="287">
        <f t="shared" ref="F390:I390" si="19">F379+F384+F385+F388+F389</f>
        <v>156.29718</v>
      </c>
      <c r="G390" s="287">
        <f t="shared" si="19"/>
        <v>748.97897</v>
      </c>
      <c r="H390" s="287">
        <f>H379+H384+H385+H388+H389</f>
        <v>37123.021030000004</v>
      </c>
      <c r="I390" s="287">
        <f t="shared" si="19"/>
        <v>947.48080000000004</v>
      </c>
      <c r="J390" s="130"/>
    </row>
    <row r="391" spans="1:10" ht="14.1" customHeight="1" x14ac:dyDescent="0.25">
      <c r="A391" s="218"/>
      <c r="B391" s="72"/>
      <c r="C391" s="161" t="s">
        <v>105</v>
      </c>
      <c r="D391" s="289"/>
      <c r="E391" s="289"/>
      <c r="F391" s="4"/>
      <c r="G391" s="4"/>
      <c r="H391" s="5"/>
      <c r="I391" s="5"/>
      <c r="J391" s="130"/>
    </row>
    <row r="392" spans="1:10" ht="14.1" customHeight="1" x14ac:dyDescent="0.25">
      <c r="A392" s="218"/>
      <c r="B392" s="72"/>
      <c r="C392" s="101" t="s">
        <v>130</v>
      </c>
      <c r="D392" s="289"/>
      <c r="E392" s="289"/>
      <c r="F392" s="4"/>
      <c r="G392" s="4"/>
      <c r="H392" s="7"/>
      <c r="I392" s="5"/>
      <c r="J392" s="130"/>
    </row>
    <row r="393" spans="1:10" ht="14.1" customHeight="1" x14ac:dyDescent="0.25">
      <c r="A393" s="218"/>
      <c r="B393" s="72"/>
      <c r="C393" s="161" t="s">
        <v>138</v>
      </c>
      <c r="D393" s="289"/>
      <c r="E393" s="289"/>
      <c r="F393" s="4"/>
      <c r="G393" s="4"/>
      <c r="H393" s="5"/>
      <c r="I393" s="7"/>
      <c r="J393" s="130"/>
    </row>
    <row r="394" spans="1:10" ht="15.75" customHeight="1" x14ac:dyDescent="0.25">
      <c r="A394" s="218"/>
      <c r="B394" s="8"/>
      <c r="C394" s="9"/>
      <c r="D394" s="107"/>
      <c r="E394" s="107"/>
      <c r="F394" s="107"/>
      <c r="G394" s="107"/>
      <c r="H394" s="107"/>
      <c r="I394" s="107"/>
      <c r="J394" s="12"/>
    </row>
    <row r="395" spans="1:10" ht="15.75" customHeight="1" x14ac:dyDescent="0.25">
      <c r="A395" s="218"/>
      <c r="B395" s="150" t="s">
        <v>112</v>
      </c>
      <c r="C395" s="14"/>
      <c r="D395" s="1"/>
      <c r="E395" s="1"/>
      <c r="F395" s="1"/>
      <c r="G395" s="1"/>
      <c r="H395" s="1"/>
      <c r="I395" s="1"/>
      <c r="J395" s="150"/>
    </row>
    <row r="396" spans="1:10" ht="294.75" customHeight="1" x14ac:dyDescent="0.25">
      <c r="A396" s="218"/>
      <c r="B396" s="150" t="s">
        <v>112</v>
      </c>
      <c r="C396" s="14"/>
      <c r="D396" s="1"/>
      <c r="E396" s="1"/>
      <c r="F396" s="1"/>
      <c r="G396" s="1"/>
      <c r="H396" s="1"/>
      <c r="I396" s="1"/>
      <c r="J396" s="150"/>
    </row>
    <row r="397" spans="1:10" ht="14.1" customHeight="1" x14ac:dyDescent="0.25">
      <c r="A397" s="218"/>
      <c r="C397" s="150" t="s">
        <v>112</v>
      </c>
      <c r="D397" s="156"/>
    </row>
    <row r="398" spans="1:10" ht="14.1" customHeight="1" x14ac:dyDescent="0.25">
      <c r="A398" s="218"/>
      <c r="B398" s="123"/>
      <c r="C398" s="239"/>
      <c r="D398" s="17"/>
      <c r="E398" s="239"/>
      <c r="F398" s="239"/>
      <c r="G398" s="239"/>
      <c r="H398" s="239"/>
      <c r="I398" s="239"/>
      <c r="J398" s="60"/>
    </row>
    <row r="399" spans="1:10" ht="14.1" customHeight="1" x14ac:dyDescent="0.25">
      <c r="A399" s="218"/>
      <c r="B399" s="72"/>
      <c r="C399" s="219" t="s">
        <v>106</v>
      </c>
      <c r="D399" s="156"/>
      <c r="E399" s="150"/>
      <c r="G399" s="150"/>
      <c r="H399" s="150"/>
      <c r="I399" s="150"/>
      <c r="J399" s="130"/>
    </row>
    <row r="400" spans="1:10" ht="14.1" customHeight="1" x14ac:dyDescent="0.25">
      <c r="A400" s="218"/>
      <c r="B400" s="72"/>
      <c r="C400" s="150"/>
      <c r="D400" s="156"/>
      <c r="E400" s="150"/>
      <c r="G400" s="150"/>
      <c r="H400" s="150"/>
      <c r="I400" s="150"/>
      <c r="J400" s="130"/>
    </row>
    <row r="401" spans="1:10" ht="14.1" customHeight="1" x14ac:dyDescent="0.25">
      <c r="A401" s="218"/>
      <c r="B401" s="72"/>
      <c r="C401" s="149" t="s">
        <v>1</v>
      </c>
      <c r="D401" s="185"/>
      <c r="E401" s="150"/>
      <c r="F401" s="150"/>
      <c r="G401" s="150"/>
      <c r="H401" s="150"/>
      <c r="I401" s="150"/>
      <c r="J401" s="130"/>
    </row>
    <row r="402" spans="1:10" ht="14.1" customHeight="1" x14ac:dyDescent="0.25">
      <c r="A402" s="218"/>
      <c r="B402" s="72"/>
      <c r="C402" s="259" t="s">
        <v>6</v>
      </c>
      <c r="D402" s="270">
        <v>2681</v>
      </c>
      <c r="E402" s="150"/>
      <c r="F402" s="150"/>
      <c r="G402" s="150"/>
      <c r="H402" s="150"/>
      <c r="I402" s="150"/>
      <c r="J402" s="130"/>
    </row>
    <row r="403" spans="1:10" ht="14.1" customHeight="1" x14ac:dyDescent="0.25">
      <c r="A403" s="218"/>
      <c r="B403" s="72"/>
      <c r="C403" s="248" t="s">
        <v>90</v>
      </c>
      <c r="D403" s="46">
        <v>1753</v>
      </c>
      <c r="E403" s="150"/>
      <c r="G403" s="150"/>
      <c r="H403" s="150"/>
      <c r="I403" s="150"/>
      <c r="J403" s="130"/>
    </row>
    <row r="404" spans="1:10" ht="14.1" customHeight="1" x14ac:dyDescent="0.25">
      <c r="A404" s="218"/>
      <c r="B404" s="72"/>
      <c r="C404" s="248" t="s">
        <v>73</v>
      </c>
      <c r="D404" s="46">
        <v>123</v>
      </c>
      <c r="E404" s="150"/>
      <c r="F404" s="150"/>
      <c r="G404" s="150"/>
      <c r="H404" s="150"/>
      <c r="I404" s="150"/>
      <c r="J404" s="130"/>
    </row>
    <row r="405" spans="1:10" ht="14.1" customHeight="1" x14ac:dyDescent="0.25">
      <c r="A405" s="218"/>
      <c r="B405" s="72"/>
      <c r="C405" s="57" t="s">
        <v>49</v>
      </c>
      <c r="D405" s="35">
        <v>4557</v>
      </c>
      <c r="E405" s="150"/>
      <c r="F405" s="150"/>
      <c r="G405" s="150"/>
      <c r="H405" s="150"/>
      <c r="I405" s="150"/>
      <c r="J405" s="130"/>
    </row>
    <row r="406" spans="1:10" ht="14.1" customHeight="1" x14ac:dyDescent="0.25">
      <c r="A406" s="218"/>
      <c r="B406" s="72"/>
      <c r="C406" s="308" t="s">
        <v>120</v>
      </c>
      <c r="D406" s="308"/>
      <c r="E406" s="308"/>
      <c r="F406" s="308"/>
      <c r="G406" s="213"/>
      <c r="H406" s="213"/>
      <c r="I406" s="150"/>
      <c r="J406" s="130"/>
    </row>
    <row r="407" spans="1:10" ht="14.1" customHeight="1" x14ac:dyDescent="0.25">
      <c r="A407" s="218"/>
      <c r="B407" s="72"/>
      <c r="C407" s="213"/>
      <c r="D407" s="213"/>
      <c r="E407" s="213"/>
      <c r="F407" s="213"/>
      <c r="G407" s="213"/>
      <c r="H407" s="213"/>
      <c r="I407" s="150"/>
      <c r="J407" s="130"/>
    </row>
    <row r="408" spans="1:10" ht="14.1" customHeight="1" x14ac:dyDescent="0.25">
      <c r="A408" s="218"/>
      <c r="B408" s="72"/>
      <c r="C408" s="150"/>
      <c r="D408" s="156"/>
      <c r="E408" s="150"/>
      <c r="F408" s="150"/>
      <c r="G408" s="150"/>
      <c r="H408" s="150"/>
      <c r="I408" s="150"/>
      <c r="J408" s="130"/>
    </row>
    <row r="409" spans="1:10" ht="14.1" customHeight="1" x14ac:dyDescent="0.25">
      <c r="A409" s="218"/>
      <c r="B409" s="72"/>
      <c r="C409" s="150"/>
      <c r="D409" s="150"/>
      <c r="E409" s="150"/>
      <c r="F409" s="150"/>
      <c r="G409" s="150"/>
      <c r="H409" s="150"/>
      <c r="I409" s="150"/>
      <c r="J409" s="130"/>
    </row>
    <row r="410" spans="1:10" ht="29.25" customHeight="1" x14ac:dyDescent="0.25">
      <c r="A410" s="218"/>
      <c r="B410" s="231"/>
      <c r="C410" s="234" t="s">
        <v>15</v>
      </c>
      <c r="D410" s="234"/>
      <c r="E410" s="234"/>
      <c r="F410" s="234"/>
      <c r="G410" s="234"/>
      <c r="H410" s="234"/>
      <c r="I410" s="234"/>
      <c r="J410" s="238"/>
    </row>
    <row r="411" spans="1:10" ht="78" customHeight="1" x14ac:dyDescent="0.25">
      <c r="A411" s="218"/>
      <c r="B411" s="198"/>
      <c r="C411" s="20" t="s">
        <v>107</v>
      </c>
      <c r="D411" s="22" t="s">
        <v>108</v>
      </c>
      <c r="E411" s="20" t="s">
        <v>144</v>
      </c>
      <c r="F411" s="20" t="s">
        <v>145</v>
      </c>
      <c r="G411" s="25" t="s">
        <v>146</v>
      </c>
      <c r="H411" s="20" t="s">
        <v>147</v>
      </c>
      <c r="I411" s="224"/>
      <c r="J411" s="13"/>
    </row>
    <row r="412" spans="1:10" ht="14.1" customHeight="1" x14ac:dyDescent="0.25">
      <c r="A412" s="218"/>
      <c r="B412" s="72"/>
      <c r="C412" s="265" t="s">
        <v>109</v>
      </c>
      <c r="D412" s="203">
        <v>894</v>
      </c>
      <c r="E412" s="26">
        <f>SUM(E413:E414)</f>
        <v>0</v>
      </c>
      <c r="F412" s="26">
        <f>SUM(F413:F414)</f>
        <v>1023.20588</v>
      </c>
      <c r="G412" s="85">
        <f>D412-F412</f>
        <v>-129.20587999999998</v>
      </c>
      <c r="H412" s="26">
        <f>SUM(H413:H414)</f>
        <v>988.40122999999994</v>
      </c>
      <c r="I412" s="27"/>
      <c r="J412" s="130"/>
    </row>
    <row r="413" spans="1:10" ht="14.1" customHeight="1" x14ac:dyDescent="0.25">
      <c r="A413" s="218"/>
      <c r="B413" s="72"/>
      <c r="C413" s="29" t="s">
        <v>8</v>
      </c>
      <c r="E413" s="204">
        <f>0</f>
        <v>0</v>
      </c>
      <c r="F413" s="204">
        <f>778.94708</f>
        <v>778.94708000000003</v>
      </c>
      <c r="G413" s="205"/>
      <c r="H413" s="204">
        <f>753.71223</f>
        <v>753.71222999999998</v>
      </c>
      <c r="I413" s="150"/>
      <c r="J413" s="130"/>
    </row>
    <row r="414" spans="1:10" ht="14.1" customHeight="1" x14ac:dyDescent="0.25">
      <c r="A414" s="218"/>
      <c r="B414" s="72"/>
      <c r="C414" s="29" t="s">
        <v>11</v>
      </c>
      <c r="D414" s="206"/>
      <c r="E414" s="207">
        <f>0</f>
        <v>0</v>
      </c>
      <c r="F414" s="207">
        <f>244.2588</f>
        <v>244.25880000000001</v>
      </c>
      <c r="G414" s="208"/>
      <c r="H414" s="207">
        <f>234.689</f>
        <v>234.68899999999999</v>
      </c>
      <c r="I414" s="150"/>
      <c r="J414" s="130"/>
    </row>
    <row r="415" spans="1:10" ht="14.1" customHeight="1" x14ac:dyDescent="0.25">
      <c r="A415" s="218"/>
      <c r="B415" s="72"/>
      <c r="C415" s="265" t="s">
        <v>110</v>
      </c>
      <c r="D415" s="10">
        <v>894</v>
      </c>
      <c r="E415" s="26">
        <f>SUM(E416:E417)</f>
        <v>73.48875000000001</v>
      </c>
      <c r="F415" s="26">
        <f>SUM(F416:F417)</f>
        <v>870.64675</v>
      </c>
      <c r="G415" s="85">
        <f>D415-F415</f>
        <v>23.353250000000003</v>
      </c>
      <c r="H415" s="26">
        <f>SUM(H416:H417)</f>
        <v>1020.91948</v>
      </c>
      <c r="I415" s="27"/>
      <c r="J415" s="130"/>
    </row>
    <row r="416" spans="1:10" ht="14.1" customHeight="1" x14ac:dyDescent="0.25">
      <c r="A416" s="218"/>
      <c r="B416" s="72"/>
      <c r="C416" s="29" t="s">
        <v>8</v>
      </c>
      <c r="D416" s="42"/>
      <c r="E416" s="30">
        <f>65.239</f>
        <v>65.239000000000004</v>
      </c>
      <c r="F416" s="30">
        <f>688.57638</f>
        <v>688.57637999999997</v>
      </c>
      <c r="G416" s="97"/>
      <c r="H416" s="30">
        <f>812.62608</f>
        <v>812.62608</v>
      </c>
      <c r="I416" s="150"/>
      <c r="J416" s="130"/>
    </row>
    <row r="417" spans="1:10" ht="14.1" customHeight="1" x14ac:dyDescent="0.25">
      <c r="A417" s="218"/>
      <c r="B417" s="72"/>
      <c r="C417" s="29" t="s">
        <v>11</v>
      </c>
      <c r="D417" s="221"/>
      <c r="E417" s="30">
        <f>8.24975</f>
        <v>8.2497500000000006</v>
      </c>
      <c r="F417" s="30">
        <f>182.07037</f>
        <v>182.07037</v>
      </c>
      <c r="G417" s="108"/>
      <c r="H417" s="30">
        <f>208.2934</f>
        <v>208.29339999999999</v>
      </c>
      <c r="I417" s="150"/>
      <c r="J417" s="130"/>
    </row>
    <row r="418" spans="1:10" ht="14.1" customHeight="1" x14ac:dyDescent="0.25">
      <c r="A418" s="218"/>
      <c r="B418" s="72"/>
      <c r="C418" s="265" t="s">
        <v>111</v>
      </c>
      <c r="D418" s="10">
        <v>893</v>
      </c>
      <c r="E418" s="36">
        <f>SUM(E419:E420)</f>
        <v>0</v>
      </c>
      <c r="F418" s="36">
        <f>SUM(F419:F420)</f>
        <v>0</v>
      </c>
      <c r="G418" s="85">
        <f>D418-F418</f>
        <v>893</v>
      </c>
      <c r="H418" s="36">
        <f>SUM(H419:H420)</f>
        <v>0</v>
      </c>
      <c r="I418" s="150"/>
      <c r="J418" s="130"/>
    </row>
    <row r="419" spans="1:10" ht="14.1" customHeight="1" x14ac:dyDescent="0.25">
      <c r="A419" s="218"/>
      <c r="B419" s="72"/>
      <c r="C419" s="29" t="s">
        <v>8</v>
      </c>
      <c r="D419" s="42"/>
      <c r="E419" s="30">
        <f>0</f>
        <v>0</v>
      </c>
      <c r="F419" s="30">
        <f>0</f>
        <v>0</v>
      </c>
      <c r="G419" s="97"/>
      <c r="H419" s="30">
        <f>0</f>
        <v>0</v>
      </c>
      <c r="I419" s="150"/>
      <c r="J419" s="130"/>
    </row>
    <row r="420" spans="1:10" ht="14.1" customHeight="1" x14ac:dyDescent="0.25">
      <c r="A420" s="218"/>
      <c r="B420" s="72"/>
      <c r="C420" s="29" t="s">
        <v>11</v>
      </c>
      <c r="D420" s="221"/>
      <c r="E420" s="30">
        <f>0</f>
        <v>0</v>
      </c>
      <c r="F420" s="30">
        <f>0</f>
        <v>0</v>
      </c>
      <c r="G420" s="108"/>
      <c r="H420" s="30">
        <f>0</f>
        <v>0</v>
      </c>
      <c r="I420" s="150"/>
      <c r="J420" s="130"/>
    </row>
    <row r="421" spans="1:10" ht="14.1" customHeight="1" x14ac:dyDescent="0.25">
      <c r="A421" s="218"/>
      <c r="B421" s="72"/>
      <c r="C421" s="279" t="s">
        <v>94</v>
      </c>
      <c r="D421" s="37"/>
      <c r="E421" s="94">
        <f>0</f>
        <v>0</v>
      </c>
      <c r="F421" s="94">
        <f>0</f>
        <v>0</v>
      </c>
      <c r="G421" s="94">
        <f>D421-F421</f>
        <v>0</v>
      </c>
      <c r="H421" s="94">
        <f>0</f>
        <v>0</v>
      </c>
      <c r="I421" s="150"/>
      <c r="J421" s="130"/>
    </row>
    <row r="422" spans="1:10" ht="14.1" customHeight="1" x14ac:dyDescent="0.25">
      <c r="A422" s="218"/>
      <c r="B422" s="72"/>
      <c r="C422" s="285" t="s">
        <v>86</v>
      </c>
      <c r="D422" s="39">
        <f>D412+D415+D418</f>
        <v>2681</v>
      </c>
      <c r="E422" s="40">
        <f>E412+E415+E418+E421</f>
        <v>73.48875000000001</v>
      </c>
      <c r="F422" s="40">
        <f>F412+F415+F418+F421</f>
        <v>1893.8526299999999</v>
      </c>
      <c r="G422" s="41">
        <f>D422-F422</f>
        <v>787.14737000000014</v>
      </c>
      <c r="H422" s="40">
        <f>H412+H415+H418+H421</f>
        <v>2009.32071</v>
      </c>
      <c r="I422" s="27"/>
      <c r="J422" s="130"/>
    </row>
    <row r="423" spans="1:10" ht="42" customHeight="1" x14ac:dyDescent="0.25">
      <c r="A423" s="218"/>
      <c r="B423" s="72"/>
      <c r="C423" s="301" t="s">
        <v>115</v>
      </c>
      <c r="D423" s="301"/>
      <c r="E423" s="301"/>
      <c r="F423" s="301"/>
      <c r="G423" s="301"/>
      <c r="H423" s="301"/>
      <c r="I423" s="301"/>
      <c r="J423" s="302"/>
    </row>
    <row r="424" spans="1:10" ht="14.1" customHeight="1" x14ac:dyDescent="0.25">
      <c r="A424" s="218"/>
      <c r="B424" s="8"/>
      <c r="C424" s="209"/>
      <c r="D424" s="199"/>
      <c r="E424" s="209"/>
      <c r="F424" s="209"/>
      <c r="G424" s="209"/>
      <c r="H424" s="209"/>
      <c r="I424" s="209"/>
      <c r="J424" s="12"/>
    </row>
    <row r="425" spans="1:10" ht="0" hidden="1" customHeight="1" x14ac:dyDescent="0.25"/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0" hidden="1" customHeight="1" x14ac:dyDescent="0.25"/>
    <row r="65609" ht="16.5" customHeight="1" x14ac:dyDescent="0.25"/>
  </sheetData>
  <mergeCells count="15">
    <mergeCell ref="C423:J423"/>
    <mergeCell ref="C51:H51"/>
    <mergeCell ref="E54:E58"/>
    <mergeCell ref="H54:H58"/>
    <mergeCell ref="C80:D80"/>
    <mergeCell ref="E80:F80"/>
    <mergeCell ref="G80:H80"/>
    <mergeCell ref="C406:F406"/>
    <mergeCell ref="D54:D58"/>
    <mergeCell ref="C17:H17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7&amp;R17.02.2025</oddHeader>
    <oddFooter>&amp;LFiskeridirektoratet&amp;CSeksjon fiskeriregulering&amp;R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Borgny Brørvik</cp:lastModifiedBy>
  <cp:lastPrinted>2022-11-14T12:51:47Z</cp:lastPrinted>
  <dcterms:created xsi:type="dcterms:W3CDTF">2022-08-01T13:23:35Z</dcterms:created>
  <dcterms:modified xsi:type="dcterms:W3CDTF">2025-02-17T09:05:23Z</dcterms:modified>
</cp:coreProperties>
</file>