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Script\excel\output\2023\"/>
    </mc:Choice>
  </mc:AlternateContent>
  <xr:revisionPtr revIDLastSave="0" documentId="13_ncr:1_{88FFC630-D0D0-4A96-A29F-692644F7FF5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ukesstatistikk!$B$1:$J$333</definedName>
    <definedName name="Z_14D440E4_F18A_4F78_9989_38C1B133222D_.wvu.Rows" localSheetId="0" hidden="1">ukesstatistikk!#REF!,ukesstatistikk!#REF!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D331" i="1"/>
  <c r="H329" i="1"/>
  <c r="F329" i="1"/>
  <c r="E329" i="1"/>
  <c r="H328" i="1"/>
  <c r="H327" i="1" s="1"/>
  <c r="F328" i="1"/>
  <c r="F327" i="1" s="1"/>
  <c r="G327" i="1" s="1"/>
  <c r="E328" i="1"/>
  <c r="E327" i="1" s="1"/>
  <c r="H326" i="1"/>
  <c r="F326" i="1"/>
  <c r="E326" i="1"/>
  <c r="E324" i="1" s="1"/>
  <c r="H325" i="1"/>
  <c r="H324" i="1" s="1"/>
  <c r="F325" i="1"/>
  <c r="F324" i="1" s="1"/>
  <c r="G324" i="1" s="1"/>
  <c r="E325" i="1"/>
  <c r="H323" i="1"/>
  <c r="F323" i="1"/>
  <c r="E323" i="1"/>
  <c r="H322" i="1"/>
  <c r="H321" i="1" s="1"/>
  <c r="H331" i="1" s="1"/>
  <c r="F322" i="1"/>
  <c r="E322" i="1"/>
  <c r="F321" i="1"/>
  <c r="E321" i="1"/>
  <c r="E331" i="1" s="1"/>
  <c r="D299" i="1"/>
  <c r="I298" i="1"/>
  <c r="H298" i="1"/>
  <c r="G298" i="1"/>
  <c r="F298" i="1"/>
  <c r="I297" i="1"/>
  <c r="H297" i="1"/>
  <c r="G297" i="1"/>
  <c r="F297" i="1"/>
  <c r="I296" i="1"/>
  <c r="I294" i="1" s="1"/>
  <c r="G296" i="1"/>
  <c r="F296" i="1"/>
  <c r="I295" i="1"/>
  <c r="G295" i="1"/>
  <c r="F295" i="1"/>
  <c r="G294" i="1"/>
  <c r="H294" i="1" s="1"/>
  <c r="F294" i="1"/>
  <c r="I293" i="1"/>
  <c r="H293" i="1"/>
  <c r="G293" i="1"/>
  <c r="F293" i="1"/>
  <c r="I292" i="1"/>
  <c r="G292" i="1"/>
  <c r="H292" i="1" s="1"/>
  <c r="F292" i="1"/>
  <c r="I291" i="1"/>
  <c r="I288" i="1" s="1"/>
  <c r="I299" i="1" s="1"/>
  <c r="H291" i="1"/>
  <c r="G291" i="1"/>
  <c r="F291" i="1"/>
  <c r="I290" i="1"/>
  <c r="G290" i="1"/>
  <c r="G288" i="1" s="1"/>
  <c r="G299" i="1" s="1"/>
  <c r="F290" i="1"/>
  <c r="I289" i="1"/>
  <c r="H289" i="1"/>
  <c r="G289" i="1"/>
  <c r="F289" i="1"/>
  <c r="F288" i="1"/>
  <c r="F299" i="1" s="1"/>
  <c r="E288" i="1"/>
  <c r="E299" i="1" s="1"/>
  <c r="D288" i="1"/>
  <c r="H280" i="1"/>
  <c r="F280" i="1"/>
  <c r="D262" i="1"/>
  <c r="H261" i="1"/>
  <c r="F261" i="1"/>
  <c r="E261" i="1"/>
  <c r="H260" i="1"/>
  <c r="F260" i="1"/>
  <c r="G260" i="1" s="1"/>
  <c r="E260" i="1"/>
  <c r="H259" i="1"/>
  <c r="G259" i="1"/>
  <c r="F259" i="1"/>
  <c r="E259" i="1"/>
  <c r="H258" i="1"/>
  <c r="H262" i="1" s="1"/>
  <c r="F258" i="1"/>
  <c r="F262" i="1" s="1"/>
  <c r="G262" i="1" s="1"/>
  <c r="E258" i="1"/>
  <c r="E262" i="1" s="1"/>
  <c r="D251" i="1"/>
  <c r="D207" i="1"/>
  <c r="G207" i="1" s="1"/>
  <c r="G206" i="1"/>
  <c r="H205" i="1"/>
  <c r="G205" i="1"/>
  <c r="F205" i="1"/>
  <c r="E205" i="1"/>
  <c r="H204" i="1"/>
  <c r="H207" i="1" s="1"/>
  <c r="F204" i="1"/>
  <c r="F207" i="1" s="1"/>
  <c r="E204" i="1"/>
  <c r="E207" i="1" s="1"/>
  <c r="D184" i="1"/>
  <c r="H182" i="1"/>
  <c r="F182" i="1"/>
  <c r="G182" i="1" s="1"/>
  <c r="E182" i="1"/>
  <c r="H181" i="1"/>
  <c r="F181" i="1"/>
  <c r="E181" i="1"/>
  <c r="H180" i="1"/>
  <c r="F180" i="1"/>
  <c r="E180" i="1"/>
  <c r="H179" i="1"/>
  <c r="H178" i="1" s="1"/>
  <c r="H184" i="1" s="1"/>
  <c r="F179" i="1"/>
  <c r="F178" i="1" s="1"/>
  <c r="G178" i="1" s="1"/>
  <c r="E179" i="1"/>
  <c r="E178" i="1" s="1"/>
  <c r="H177" i="1"/>
  <c r="G177" i="1"/>
  <c r="F177" i="1"/>
  <c r="E177" i="1"/>
  <c r="H176" i="1"/>
  <c r="F176" i="1"/>
  <c r="E176" i="1"/>
  <c r="H175" i="1"/>
  <c r="F175" i="1"/>
  <c r="E175" i="1"/>
  <c r="D150" i="1"/>
  <c r="H147" i="1"/>
  <c r="H146" i="1"/>
  <c r="H145" i="1"/>
  <c r="F145" i="1"/>
  <c r="I144" i="1"/>
  <c r="G144" i="1"/>
  <c r="H144" i="1" s="1"/>
  <c r="F144" i="1"/>
  <c r="I143" i="1"/>
  <c r="H143" i="1"/>
  <c r="G143" i="1"/>
  <c r="F143" i="1"/>
  <c r="I142" i="1"/>
  <c r="G142" i="1"/>
  <c r="H142" i="1" s="1"/>
  <c r="F142" i="1"/>
  <c r="I141" i="1"/>
  <c r="H141" i="1"/>
  <c r="G141" i="1"/>
  <c r="F141" i="1"/>
  <c r="I140" i="1"/>
  <c r="G140" i="1"/>
  <c r="G139" i="1" s="1"/>
  <c r="F140" i="1"/>
  <c r="F139" i="1" s="1"/>
  <c r="F133" i="1" s="1"/>
  <c r="I139" i="1"/>
  <c r="E139" i="1"/>
  <c r="I138" i="1"/>
  <c r="H138" i="1"/>
  <c r="F138" i="1"/>
  <c r="I137" i="1"/>
  <c r="H137" i="1"/>
  <c r="F137" i="1"/>
  <c r="I136" i="1"/>
  <c r="H136" i="1"/>
  <c r="F136" i="1"/>
  <c r="I135" i="1"/>
  <c r="H135" i="1"/>
  <c r="H134" i="1" s="1"/>
  <c r="F135" i="1"/>
  <c r="I134" i="1"/>
  <c r="I133" i="1" s="1"/>
  <c r="G134" i="1"/>
  <c r="G133" i="1" s="1"/>
  <c r="F134" i="1"/>
  <c r="E134" i="1"/>
  <c r="E133" i="1"/>
  <c r="I132" i="1"/>
  <c r="F132" i="1"/>
  <c r="H131" i="1"/>
  <c r="I130" i="1"/>
  <c r="G130" i="1"/>
  <c r="H130" i="1" s="1"/>
  <c r="H128" i="1" s="1"/>
  <c r="F130" i="1"/>
  <c r="I129" i="1"/>
  <c r="I128" i="1" s="1"/>
  <c r="I150" i="1" s="1"/>
  <c r="H129" i="1"/>
  <c r="G129" i="1"/>
  <c r="F129" i="1"/>
  <c r="G128" i="1"/>
  <c r="F128" i="1"/>
  <c r="E128" i="1"/>
  <c r="E150" i="1" s="1"/>
  <c r="C126" i="1"/>
  <c r="H106" i="1"/>
  <c r="H105" i="1"/>
  <c r="H104" i="1"/>
  <c r="F104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9" i="1"/>
  <c r="H99" i="1"/>
  <c r="G99" i="1"/>
  <c r="F99" i="1"/>
  <c r="I98" i="1"/>
  <c r="H98" i="1"/>
  <c r="G98" i="1"/>
  <c r="F98" i="1"/>
  <c r="F96" i="1" s="1"/>
  <c r="F95" i="1" s="1"/>
  <c r="I97" i="1"/>
  <c r="I96" i="1" s="1"/>
  <c r="I95" i="1" s="1"/>
  <c r="H97" i="1"/>
  <c r="H96" i="1" s="1"/>
  <c r="H95" i="1" s="1"/>
  <c r="G97" i="1"/>
  <c r="G96" i="1" s="1"/>
  <c r="G95" i="1" s="1"/>
  <c r="F97" i="1"/>
  <c r="E96" i="1"/>
  <c r="E95" i="1" s="1"/>
  <c r="E107" i="1" s="1"/>
  <c r="D96" i="1"/>
  <c r="D95" i="1" s="1"/>
  <c r="D107" i="1" s="1"/>
  <c r="I94" i="1"/>
  <c r="I92" i="1" s="1"/>
  <c r="H94" i="1"/>
  <c r="G94" i="1"/>
  <c r="F94" i="1"/>
  <c r="I93" i="1"/>
  <c r="H93" i="1"/>
  <c r="G93" i="1"/>
  <c r="F93" i="1"/>
  <c r="F92" i="1" s="1"/>
  <c r="F107" i="1" s="1"/>
  <c r="H92" i="1"/>
  <c r="H107" i="1" s="1"/>
  <c r="G92" i="1"/>
  <c r="E92" i="1"/>
  <c r="C89" i="1"/>
  <c r="H85" i="1"/>
  <c r="F85" i="1"/>
  <c r="D85" i="1"/>
  <c r="G61" i="1"/>
  <c r="G60" i="1"/>
  <c r="H55" i="1"/>
  <c r="F55" i="1"/>
  <c r="G55" i="1" s="1"/>
  <c r="E55" i="1"/>
  <c r="E44" i="1"/>
  <c r="D44" i="1"/>
  <c r="H43" i="1"/>
  <c r="H42" i="1"/>
  <c r="H41" i="1"/>
  <c r="H40" i="1"/>
  <c r="F40" i="1"/>
  <c r="I39" i="1"/>
  <c r="G39" i="1"/>
  <c r="H39" i="1" s="1"/>
  <c r="F39" i="1"/>
  <c r="I38" i="1"/>
  <c r="H38" i="1"/>
  <c r="G38" i="1"/>
  <c r="F38" i="1"/>
  <c r="I37" i="1"/>
  <c r="H37" i="1"/>
  <c r="G37" i="1"/>
  <c r="F37" i="1"/>
  <c r="I36" i="1"/>
  <c r="G36" i="1"/>
  <c r="H36" i="1" s="1"/>
  <c r="F36" i="1"/>
  <c r="I35" i="1"/>
  <c r="H35" i="1"/>
  <c r="G35" i="1"/>
  <c r="F35" i="1"/>
  <c r="G34" i="1"/>
  <c r="H34" i="1" s="1"/>
  <c r="I33" i="1"/>
  <c r="H33" i="1"/>
  <c r="G33" i="1"/>
  <c r="F33" i="1"/>
  <c r="I32" i="1"/>
  <c r="H32" i="1"/>
  <c r="G32" i="1"/>
  <c r="F32" i="1"/>
  <c r="I31" i="1"/>
  <c r="G31" i="1"/>
  <c r="H31" i="1" s="1"/>
  <c r="F31" i="1"/>
  <c r="I30" i="1"/>
  <c r="H30" i="1"/>
  <c r="G30" i="1"/>
  <c r="F30" i="1"/>
  <c r="I29" i="1"/>
  <c r="H29" i="1"/>
  <c r="G29" i="1"/>
  <c r="F29" i="1"/>
  <c r="F27" i="1" s="1"/>
  <c r="I28" i="1"/>
  <c r="I27" i="1" s="1"/>
  <c r="H28" i="1"/>
  <c r="G28" i="1"/>
  <c r="F28" i="1"/>
  <c r="I25" i="1"/>
  <c r="H25" i="1"/>
  <c r="G25" i="1"/>
  <c r="F25" i="1"/>
  <c r="I24" i="1"/>
  <c r="I23" i="1" s="1"/>
  <c r="H24" i="1"/>
  <c r="H23" i="1" s="1"/>
  <c r="G24" i="1"/>
  <c r="G23" i="1" s="1"/>
  <c r="F24" i="1"/>
  <c r="F23" i="1"/>
  <c r="H16" i="1"/>
  <c r="F16" i="1"/>
  <c r="D16" i="1"/>
  <c r="G150" i="1" l="1"/>
  <c r="I34" i="1"/>
  <c r="I26" i="1"/>
  <c r="I44" i="1" s="1"/>
  <c r="F34" i="1"/>
  <c r="F26" i="1" s="1"/>
  <c r="F44" i="1" s="1"/>
  <c r="G27" i="1"/>
  <c r="G26" i="1" s="1"/>
  <c r="G44" i="1" s="1"/>
  <c r="H27" i="1"/>
  <c r="H26" i="1" s="1"/>
  <c r="H44" i="1" s="1"/>
  <c r="G107" i="1"/>
  <c r="F150" i="1"/>
  <c r="I107" i="1"/>
  <c r="E184" i="1"/>
  <c r="H288" i="1"/>
  <c r="H299" i="1" s="1"/>
  <c r="F331" i="1"/>
  <c r="F184" i="1"/>
  <c r="G184" i="1" s="1"/>
  <c r="H290" i="1"/>
  <c r="G204" i="1"/>
  <c r="G175" i="1"/>
  <c r="H140" i="1"/>
  <c r="H139" i="1" s="1"/>
  <c r="H133" i="1" s="1"/>
  <c r="H150" i="1" s="1"/>
  <c r="G258" i="1"/>
  <c r="G321" i="1"/>
  <c r="G331" i="1" s="1"/>
</calcChain>
</file>

<file path=xl/sharedStrings.xml><?xml version="1.0" encoding="utf-8"?>
<sst xmlns="http://schemas.openxmlformats.org/spreadsheetml/2006/main" count="330" uniqueCount="148">
  <si>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</si>
  <si>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</si>
  <si>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</si>
  <si>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</si>
  <si>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</si>
  <si>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</si>
  <si>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</si>
  <si>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</si>
  <si>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</si>
  <si>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</si>
  <si>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</si>
  <si>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</si>
  <si>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</si>
  <si>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</si>
  <si>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</si>
  <si>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</si>
  <si>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</si>
  <si>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</si>
  <si>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</si>
  <si>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</si>
  <si>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</si>
  <si>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</si>
  <si>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</si>
  <si>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</si>
  <si>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</si>
  <si>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</si>
  <si>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</si>
  <si>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</si>
  <si>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</si>
  <si>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</si>
  <si>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</si>
  <si>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</si>
  <si>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</si>
  <si>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</si>
  <si>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</si>
  <si>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</si>
  <si>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</si>
  <si>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</si>
  <si>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</si>
  <si>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</si>
  <si>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</si>
  <si>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</si>
  <si>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</si>
  <si>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</si>
  <si>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</si>
  <si>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</si>
  <si>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</si>
  <si>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</si>
  <si>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</si>
  <si>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</si>
  <si>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</si>
  <si>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</si>
  <si>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</si>
  <si>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</si>
  <si>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</si>
  <si>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</si>
  <si>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</si>
  <si>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</si>
  <si>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</si>
  <si>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</si>
  <si>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</si>
  <si>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</si>
  <si>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</si>
  <si>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</si>
  <si>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</si>
  <si>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</si>
  <si>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</si>
  <si>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</si>
  <si>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</si>
  <si>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</si>
  <si>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</si>
  <si>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</si>
  <si>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</si>
  <si>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</si>
  <si>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</si>
  <si>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</si>
  <si>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</si>
  <si>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</si>
  <si>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</si>
  <si>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</si>
  <si>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</si>
  <si>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</si>
  <si>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</si>
  <si>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</si>
  <si>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</si>
  <si>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</si>
  <si>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</si>
  <si>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</si>
  <si>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</si>
  <si>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</si>
  <si>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</si>
  <si>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</si>
  <si>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</si>
  <si>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</si>
  <si>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</si>
  <si>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</si>
  <si>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</si>
  <si>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</si>
  <si>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</si>
  <si>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</si>
  <si>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</si>
  <si>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</si>
  <si>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</si>
  <si>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</si>
  <si>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</si>
  <si>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</si>
  <si>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</si>
  <si>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</si>
  <si>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</si>
  <si>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</si>
  <si>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</si>
  <si>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</si>
  <si>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</si>
  <si>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</si>
  <si>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</si>
  <si>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</si>
  <si>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</si>
  <si>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</si>
  <si>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</si>
  <si>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</si>
  <si>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</si>
  <si>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</si>
  <si>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</si>
  <si>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</si>
  <si>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2023 fastsettes etter oppdatert kvoteråd fra ICES.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</si>
  <si>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</si>
  <si>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</si>
  <si>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</si>
  <si>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</si>
  <si>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</si>
  <si>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</si>
  <si>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</si>
  <si>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</si>
  <si>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</si>
  <si>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</si>
  <si>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</si>
  <si>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</si>
  <si>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t>FANGST AV TORSK, HYSE, SEI, BLÅKVEITE, SNABELUER OG REKER I 2023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</si>
  <si>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</si>
  <si>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</si>
  <si>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FANGST UKE 16</t>
  </si>
  <si>
    <t>FANGST T.O.M UKE 16</t>
  </si>
  <si>
    <t>RESTKVOTER UKE 16</t>
  </si>
  <si>
    <t>FANGST T.O.M UKE 16 2022</t>
  </si>
  <si>
    <r>
      <t>3</t>
    </r>
    <r>
      <rPr>
        <sz val="9"/>
        <color indexed="8"/>
        <rFont val="Calibri"/>
        <family val="2"/>
      </rPr>
      <t xml:space="preserve"> Det er fisket 1 241 tonn sei med konvensjonelle redskap som belastes notkvoten.</t>
    </r>
  </si>
  <si>
    <r>
      <t xml:space="preserve">3 </t>
    </r>
    <r>
      <rPr>
        <sz val="9"/>
        <color indexed="8"/>
        <rFont val="Calibri"/>
        <family val="2"/>
      </rPr>
      <t>Registrert rekreasjonsfiske utgjør 413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</si>
  <si>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38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</si>
  <si>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166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</si>
</sst>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5" fillId="0" borderId="0" xfId="0" applyFont="1"/>
    <xf numFmtId="0" fontId="26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18"/>
  <sheetViews>
    <sheetView showGridLines="0" tabSelected="1" showRuler="0" view="pageLayout" zoomScaleNormal="85" zoomScaleSheetLayoutView="100" workbookViewId="0">
      <selection activeCell="D5" sqref="D5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7" t="s">
        <v>137</v>
      </c>
      <c r="C2" s="298"/>
      <c r="D2" s="298"/>
      <c r="E2" s="298"/>
      <c r="F2" s="298"/>
      <c r="G2" s="298"/>
      <c r="H2" s="298"/>
      <c r="I2" s="298"/>
      <c r="J2" s="299"/>
    </row>
    <row r="3" spans="1:10" ht="14.85" customHeight="1" x14ac:dyDescent="0.25">
      <c r="A3" s="1"/>
      <c r="B3" s="1"/>
      <c r="C3" s="1" t="s">
        <v>120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120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120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120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120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0"/>
      <c r="C9" s="301"/>
      <c r="D9" s="301"/>
      <c r="E9" s="301"/>
      <c r="F9" s="301"/>
      <c r="G9" s="301"/>
      <c r="H9" s="301"/>
      <c r="I9" s="301"/>
      <c r="J9" s="302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4" t="s">
        <v>1</v>
      </c>
      <c r="D11" s="295"/>
      <c r="E11" s="294" t="s">
        <v>2</v>
      </c>
      <c r="F11" s="295"/>
      <c r="G11" s="294" t="s">
        <v>3</v>
      </c>
      <c r="H11" s="295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25">
      <c r="A17" s="101"/>
      <c r="B17" s="24"/>
      <c r="C17" s="101" t="s">
        <v>138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140</v>
      </c>
      <c r="G22" s="68" t="s">
        <v>141</v>
      </c>
      <c r="H22" s="68" t="s">
        <v>142</v>
      </c>
      <c r="I22" s="68" t="s">
        <v>143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905.72519999999997</v>
      </c>
      <c r="G23" s="28">
        <f t="shared" si="0"/>
        <v>36361.358610000003</v>
      </c>
      <c r="H23" s="11">
        <f t="shared" si="0"/>
        <v>50465.641389999997</v>
      </c>
      <c r="I23" s="11">
        <f t="shared" si="0"/>
        <v>45274.502760000003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79217</v>
      </c>
      <c r="E24" s="48">
        <v>86045</v>
      </c>
      <c r="F24" s="23">
        <f>905.7252</f>
        <v>905.72519999999997</v>
      </c>
      <c r="G24" s="23">
        <f>36163.09887</f>
        <v>36163.098870000002</v>
      </c>
      <c r="H24" s="23">
        <f>E24-G24</f>
        <v>49881.901129999998</v>
      </c>
      <c r="I24" s="23">
        <f>45031.72129</f>
        <v>45031.721290000001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0</f>
        <v>0</v>
      </c>
      <c r="G25" s="23">
        <f>198.25974</f>
        <v>198.25973999999999</v>
      </c>
      <c r="H25" s="23">
        <f>E25-G25</f>
        <v>583.74026000000003</v>
      </c>
      <c r="I25" s="23">
        <f>242.78147</f>
        <v>242.78147000000001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6177.6998899999999</v>
      </c>
      <c r="G26" s="11">
        <f t="shared" si="1"/>
        <v>143453.60154999999</v>
      </c>
      <c r="H26" s="11">
        <f t="shared" si="1"/>
        <v>54116.398449999993</v>
      </c>
      <c r="I26" s="11">
        <f t="shared" si="1"/>
        <v>172943.61379999999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4259.5971299999992</v>
      </c>
      <c r="G27" s="134">
        <f t="shared" ref="G27:I27" si="2">G28+G29+G30+G31+G32</f>
        <v>115836.29665999999</v>
      </c>
      <c r="H27" s="134">
        <f t="shared" si="2"/>
        <v>36814.703339999993</v>
      </c>
      <c r="I27" s="134">
        <f t="shared" si="2"/>
        <v>145269.49763999999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1588.54314</f>
        <v>1588.54314</v>
      </c>
      <c r="G28" s="129">
        <f>32393.07179 - F57</f>
        <v>32393.071790000002</v>
      </c>
      <c r="H28" s="129">
        <f t="shared" ref="H28:H40" si="3">E28-G28</f>
        <v>7155.9282099999982</v>
      </c>
      <c r="I28" s="129">
        <f>37381.99255 - H57</f>
        <v>37381.992550000003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804.44603</f>
        <v>804.44602999999995</v>
      </c>
      <c r="G29" s="129">
        <f>33462.61383 - F58</f>
        <v>33462.613830000002</v>
      </c>
      <c r="H29" s="129">
        <f t="shared" si="3"/>
        <v>7301.3861699999979</v>
      </c>
      <c r="I29" s="129">
        <f>40956.3641 - H58</f>
        <v>40956.364099999999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1102.74911</f>
        <v>1102.74911</v>
      </c>
      <c r="G30" s="129">
        <f>29509.94819 - F59</f>
        <v>29509.948189999999</v>
      </c>
      <c r="H30" s="129">
        <f t="shared" si="3"/>
        <v>7757.0518100000008</v>
      </c>
      <c r="I30" s="129">
        <f>38301.12269 - H59</f>
        <v>38301.122689999997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763.85885</f>
        <v>763.85884999999996</v>
      </c>
      <c r="G31" s="129">
        <f>20470.66285 - F60</f>
        <v>20470.662850000001</v>
      </c>
      <c r="H31" s="129">
        <f t="shared" si="3"/>
        <v>4936.3371499999994</v>
      </c>
      <c r="I31" s="129">
        <f>28630.0183 - H60</f>
        <v>28630.0183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0</v>
      </c>
      <c r="G32" s="129">
        <f>F55</f>
        <v>0</v>
      </c>
      <c r="H32" s="129">
        <f t="shared" si="3"/>
        <v>9664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795.2159</f>
        <v>795.21590000000003</v>
      </c>
      <c r="G33" s="134">
        <f>10827.20602</f>
        <v>10827.20602</v>
      </c>
      <c r="H33" s="134">
        <f t="shared" si="3"/>
        <v>12758.79398</v>
      </c>
      <c r="I33" s="134">
        <f>12532.25574</f>
        <v>12532.255740000001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1122.8868600000001</v>
      </c>
      <c r="G34" s="134">
        <f>G35+G36</f>
        <v>16790.098870000002</v>
      </c>
      <c r="H34" s="134">
        <f t="shared" si="3"/>
        <v>4542.9011299999984</v>
      </c>
      <c r="I34" s="134">
        <f>I35+I36</f>
        <v>15141.860420000001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1122.88686</f>
        <v>1122.8868600000001</v>
      </c>
      <c r="G35" s="134">
        <f>19098.09887 - F61 - F62</f>
        <v>16790.098870000002</v>
      </c>
      <c r="H35" s="129">
        <f t="shared" si="3"/>
        <v>3342.9011299999984</v>
      </c>
      <c r="I35" s="129">
        <f>16003.86042 - H61 - H62</f>
        <v>15141.860420000001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0</v>
      </c>
      <c r="G36" s="73">
        <f>F60</f>
        <v>0</v>
      </c>
      <c r="H36" s="73">
        <f t="shared" si="3"/>
        <v>1200</v>
      </c>
      <c r="I36" s="73">
        <f>H60</f>
        <v>0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15.042</f>
        <v>15.042</v>
      </c>
      <c r="G37" s="141">
        <f>34.419</f>
        <v>34.418999999999997</v>
      </c>
      <c r="H37" s="141">
        <f t="shared" si="3"/>
        <v>2965.5810000000001</v>
      </c>
      <c r="I37" s="141">
        <f>284.01075</f>
        <v>284.01074999999997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16.8085</f>
        <v>16.808499999999999</v>
      </c>
      <c r="G38" s="100">
        <f>431.55048</f>
        <v>431.55047999999999</v>
      </c>
      <c r="H38" s="100">
        <f t="shared" si="3"/>
        <v>419.44952000000001</v>
      </c>
      <c r="I38" s="100">
        <f>392.55437</f>
        <v>392.55437000000001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329</v>
      </c>
      <c r="G39" s="100">
        <f>F61</f>
        <v>2308</v>
      </c>
      <c r="H39" s="100">
        <f t="shared" si="3"/>
        <v>740</v>
      </c>
      <c r="I39" s="100">
        <f>H61</f>
        <v>862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18.09959</f>
        <v>18.099589999999999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7462.3781799999997</v>
      </c>
      <c r="G44" s="78">
        <f t="shared" si="4"/>
        <v>189668.49064</v>
      </c>
      <c r="H44" s="78">
        <f t="shared" si="4"/>
        <v>109027.50935999995</v>
      </c>
      <c r="I44" s="78">
        <f t="shared" si="4"/>
        <v>226877.62010999996</v>
      </c>
      <c r="J44" s="242"/>
    </row>
    <row r="45" spans="1:13" ht="14.1" customHeight="1" x14ac:dyDescent="0.25">
      <c r="A45" s="101"/>
      <c r="B45" s="24"/>
      <c r="C45" s="80" t="s">
        <v>129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145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128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0" t="s">
        <v>44</v>
      </c>
      <c r="D52" s="290"/>
      <c r="E52" s="290"/>
      <c r="F52" s="290"/>
      <c r="G52" s="290"/>
      <c r="H52" s="290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140</v>
      </c>
      <c r="F54" s="68" t="s">
        <v>141</v>
      </c>
      <c r="G54" s="68" t="s">
        <v>142</v>
      </c>
      <c r="H54" s="68" t="s">
        <v>143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1">
        <v>9840</v>
      </c>
      <c r="E55" s="11">
        <f>E59+E58+E57+E56</f>
        <v>0</v>
      </c>
      <c r="F55" s="11">
        <f>F59+F58+F57+F56</f>
        <v>0</v>
      </c>
      <c r="G55" s="291">
        <f>D55-F55</f>
        <v>9840</v>
      </c>
      <c r="H55" s="11">
        <f>H59+H58+H57+H56</f>
        <v>0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292"/>
      <c r="E56" s="129"/>
      <c r="F56" s="129"/>
      <c r="G56" s="292"/>
      <c r="H56" s="129"/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292"/>
      <c r="E57" s="129"/>
      <c r="F57" s="129"/>
      <c r="G57" s="292"/>
      <c r="H57" s="129"/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292"/>
      <c r="E58" s="129"/>
      <c r="F58" s="129"/>
      <c r="G58" s="292"/>
      <c r="H58" s="129"/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293"/>
      <c r="E59" s="194"/>
      <c r="F59" s="194"/>
      <c r="G59" s="293"/>
      <c r="H59" s="194"/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>
        <v>0</v>
      </c>
      <c r="F60" s="97">
        <v>0</v>
      </c>
      <c r="G60" s="97">
        <f>D60-F60</f>
        <v>1200</v>
      </c>
      <c r="H60" s="97">
        <v>0</v>
      </c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>
        <v>329</v>
      </c>
      <c r="F61" s="141">
        <v>2308</v>
      </c>
      <c r="G61" s="141">
        <f>D61-F61</f>
        <v>692</v>
      </c>
      <c r="H61" s="141">
        <v>862</v>
      </c>
      <c r="I61" s="256"/>
      <c r="J61" s="242"/>
    </row>
    <row r="62" spans="1:10" ht="14.1" customHeight="1" x14ac:dyDescent="0.25">
      <c r="A62" s="101"/>
      <c r="B62" s="24"/>
      <c r="C62" s="80" t="s">
        <v>125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120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4" t="s">
        <v>1</v>
      </c>
      <c r="D81" s="295"/>
      <c r="E81" s="294" t="s">
        <v>2</v>
      </c>
      <c r="F81" s="296"/>
      <c r="G81" s="294" t="s">
        <v>3</v>
      </c>
      <c r="H81" s="295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25">
      <c r="A86" s="1"/>
      <c r="B86" s="252"/>
      <c r="C86" s="101" t="s">
        <v>139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140</v>
      </c>
      <c r="G91" s="15" t="s">
        <v>141</v>
      </c>
      <c r="H91" s="15" t="s">
        <v>142</v>
      </c>
      <c r="I91" s="15" t="s">
        <v>143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535.77481999999998</v>
      </c>
      <c r="G92" s="11">
        <f t="shared" si="5"/>
        <v>32973.541720000001</v>
      </c>
      <c r="H92" s="11">
        <f t="shared" si="5"/>
        <v>1825.4582800000005</v>
      </c>
      <c r="I92" s="11">
        <f t="shared" si="5"/>
        <v>32331.572990000001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31285</v>
      </c>
      <c r="E93" s="48">
        <v>33987</v>
      </c>
      <c r="F93" s="23">
        <f>535.77482</f>
        <v>535.77481999999998</v>
      </c>
      <c r="G93" s="23">
        <f>32491.35918</f>
        <v>32491.359179999999</v>
      </c>
      <c r="H93" s="23">
        <f>E93-G93</f>
        <v>1495.6408200000005</v>
      </c>
      <c r="I93" s="23">
        <f>31765.26592</f>
        <v>31765.265920000002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0</f>
        <v>0</v>
      </c>
      <c r="G94" s="52">
        <f>482.18254</f>
        <v>482.18254000000002</v>
      </c>
      <c r="H94" s="52">
        <f>E94-G94</f>
        <v>329.81745999999998</v>
      </c>
      <c r="I94" s="52">
        <f>566.30707</f>
        <v>566.30706999999995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322.09287</v>
      </c>
      <c r="G95" s="11">
        <f t="shared" si="6"/>
        <v>13191.651280000002</v>
      </c>
      <c r="H95" s="11">
        <f t="shared" si="6"/>
        <v>46308.348720000002</v>
      </c>
      <c r="I95" s="11">
        <f t="shared" si="6"/>
        <v>15460.097009999998</v>
      </c>
      <c r="J95" s="242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274.72219999999999</v>
      </c>
      <c r="G96" s="134">
        <f t="shared" si="7"/>
        <v>8492.3417200000004</v>
      </c>
      <c r="H96" s="134">
        <f t="shared" si="7"/>
        <v>35998.658280000003</v>
      </c>
      <c r="I96" s="134">
        <f t="shared" si="7"/>
        <v>10771.545329999999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87.42222</f>
        <v>87.422219999999996</v>
      </c>
      <c r="G97" s="129">
        <f>1831.36839</f>
        <v>1831.3683900000001</v>
      </c>
      <c r="H97" s="129">
        <f t="shared" ref="H97:H104" si="8">E97-G97</f>
        <v>10052.331610000001</v>
      </c>
      <c r="I97" s="129">
        <f>1966.70611</f>
        <v>1966.7061100000001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11448</v>
      </c>
      <c r="E98" s="65">
        <v>12665.1</v>
      </c>
      <c r="F98" s="129">
        <f>100.49821</f>
        <v>100.49821</v>
      </c>
      <c r="G98" s="129">
        <f>2532.01425</f>
        <v>2532.0142500000002</v>
      </c>
      <c r="H98" s="129">
        <f t="shared" si="8"/>
        <v>10133.08575</v>
      </c>
      <c r="I98" s="129">
        <f>3531.8963</f>
        <v>3531.8962999999999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10830</v>
      </c>
      <c r="E99" s="65">
        <v>11965.6</v>
      </c>
      <c r="F99" s="129">
        <f>64.27417</f>
        <v>64.274169999999998</v>
      </c>
      <c r="G99" s="129">
        <f>1976.18957</f>
        <v>1976.18957</v>
      </c>
      <c r="H99" s="129">
        <f t="shared" si="8"/>
        <v>9989.4104299999999</v>
      </c>
      <c r="I99" s="129">
        <f>3410.59334</f>
        <v>3410.5933399999999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22.5276</f>
        <v>22.5276</v>
      </c>
      <c r="G100" s="129">
        <f>2152.76951</f>
        <v>2152.7695100000001</v>
      </c>
      <c r="H100" s="129">
        <f t="shared" si="8"/>
        <v>5823.8304900000003</v>
      </c>
      <c r="I100" s="129">
        <f>1862.34958</f>
        <v>1862.3495800000001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9408</v>
      </c>
      <c r="E101" s="60">
        <v>10391</v>
      </c>
      <c r="F101" s="134">
        <f>3.37104</f>
        <v>3.3710399999999998</v>
      </c>
      <c r="G101" s="134">
        <f>3664.02295</f>
        <v>3664.02295</v>
      </c>
      <c r="H101" s="134">
        <f t="shared" si="8"/>
        <v>6726.9770499999995</v>
      </c>
      <c r="I101" s="134">
        <f>3919.71733</f>
        <v>3919.7173299999999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43.99963</f>
        <v>43.999630000000003</v>
      </c>
      <c r="G102" s="77">
        <f>1035.28661</f>
        <v>1035.2866100000001</v>
      </c>
      <c r="H102" s="77">
        <f t="shared" si="8"/>
        <v>3582.7133899999999</v>
      </c>
      <c r="I102" s="77">
        <f>768.83435</f>
        <v>768.83434999999997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</f>
        <v>0</v>
      </c>
      <c r="G103" s="100">
        <f>11.1417</f>
        <v>11.1417</v>
      </c>
      <c r="H103" s="100">
        <f t="shared" si="8"/>
        <v>308.85829999999999</v>
      </c>
      <c r="I103" s="100">
        <f>21.87064</f>
        <v>21.870640000000002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2.90992</f>
        <v>2.9099200000000001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860.7776100000001</v>
      </c>
      <c r="G107" s="78">
        <f t="shared" si="9"/>
        <v>46485.102499999986</v>
      </c>
      <c r="H107" s="78">
        <f t="shared" si="9"/>
        <v>48483.897500000014</v>
      </c>
      <c r="I107" s="78">
        <f t="shared" si="9"/>
        <v>48157.275419999998</v>
      </c>
      <c r="J107" s="242"/>
    </row>
    <row r="108" spans="1:10" ht="13.5" customHeight="1" x14ac:dyDescent="0.25">
      <c r="A108" s="1"/>
      <c r="B108" s="252"/>
      <c r="C108" s="80" t="s">
        <v>127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146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126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120</v>
      </c>
      <c r="D113" s="226"/>
      <c r="E113" s="226"/>
      <c r="F113" s="226"/>
      <c r="G113" s="226"/>
      <c r="H113" s="226"/>
      <c r="I113" s="101"/>
      <c r="J113" s="101" t="s">
        <v>120</v>
      </c>
    </row>
    <row r="114" spans="1:10" ht="14.25" customHeight="1" x14ac:dyDescent="0.25">
      <c r="A114" s="1"/>
      <c r="B114" s="101"/>
      <c r="C114" s="101" t="s">
        <v>120</v>
      </c>
      <c r="D114" s="101" t="s">
        <v>120</v>
      </c>
      <c r="E114" s="101"/>
      <c r="F114" s="101"/>
      <c r="G114" s="101"/>
      <c r="H114" s="101"/>
      <c r="I114" s="101"/>
      <c r="J114" s="101" t="s">
        <v>120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212544</v>
      </c>
      <c r="E119" s="102" t="s">
        <v>4</v>
      </c>
      <c r="F119" s="116">
        <v>77128</v>
      </c>
      <c r="G119" s="117" t="s">
        <v>5</v>
      </c>
      <c r="H119" s="116">
        <v>8713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79212</v>
      </c>
      <c r="G120" s="117" t="s">
        <v>8</v>
      </c>
      <c r="H120" s="119">
        <v>59409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2150</v>
      </c>
      <c r="E121" s="117" t="s">
        <v>60</v>
      </c>
      <c r="F121" s="119">
        <v>52113</v>
      </c>
      <c r="G121" s="117" t="s">
        <v>11</v>
      </c>
      <c r="H121" s="119">
        <v>11090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212544</v>
      </c>
      <c r="G123" s="180" t="s">
        <v>7</v>
      </c>
      <c r="H123" s="35">
        <v>79212</v>
      </c>
      <c r="I123" s="181"/>
      <c r="J123" s="242"/>
    </row>
    <row r="124" spans="1:10" ht="12" customHeight="1" x14ac:dyDescent="0.25">
      <c r="A124" s="101"/>
      <c r="B124" s="24"/>
      <c r="C124" s="101" t="s">
        <v>130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140</v>
      </c>
      <c r="G127" s="15" t="s">
        <v>141</v>
      </c>
      <c r="H127" s="15" t="s">
        <v>142</v>
      </c>
      <c r="I127" s="15" t="s">
        <v>143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77128</v>
      </c>
      <c r="E128" s="28">
        <f t="shared" ref="E128:I128" si="10">E129+E130+E131</f>
        <v>70541</v>
      </c>
      <c r="F128" s="11">
        <f t="shared" si="10"/>
        <v>229.40280000000001</v>
      </c>
      <c r="G128" s="11">
        <f t="shared" si="10"/>
        <v>28556.422329999998</v>
      </c>
      <c r="H128" s="11">
        <f t="shared" si="10"/>
        <v>41984.577669999999</v>
      </c>
      <c r="I128" s="11">
        <f t="shared" si="10"/>
        <v>26912.76698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61702</v>
      </c>
      <c r="E129" s="48">
        <v>56092</v>
      </c>
      <c r="F129" s="23">
        <f>229.4028</f>
        <v>229.40280000000001</v>
      </c>
      <c r="G129" s="23">
        <f>24395.84353</f>
        <v>24395.843529999998</v>
      </c>
      <c r="H129" s="23">
        <f>E129-G129</f>
        <v>31696.156470000002</v>
      </c>
      <c r="I129" s="23">
        <f>21763.91742</f>
        <v>21763.917420000002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14926</v>
      </c>
      <c r="E130" s="48">
        <v>13949</v>
      </c>
      <c r="F130" s="23">
        <f>0</f>
        <v>0</v>
      </c>
      <c r="G130" s="23">
        <f>4160.5788</f>
        <v>4160.5788000000002</v>
      </c>
      <c r="H130" s="23">
        <f>E130-G130</f>
        <v>9788.4212000000007</v>
      </c>
      <c r="I130" s="23">
        <f>5148.84956</f>
        <v>5148.8495599999997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52113</v>
      </c>
      <c r="E132" s="93">
        <v>49172</v>
      </c>
      <c r="F132" s="97">
        <f>930.91</f>
        <v>930.91</v>
      </c>
      <c r="G132" s="97">
        <f>1349.48813+1241.063175</f>
        <v>2590.551305</v>
      </c>
      <c r="H132" s="97">
        <f>E132-G132</f>
        <v>46581.448694999999</v>
      </c>
      <c r="I132" s="97">
        <f>98.04078</f>
        <v>98.040779999999998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80721</v>
      </c>
      <c r="E133" s="145">
        <f>E134+E139+E142</f>
        <v>80940</v>
      </c>
      <c r="F133" s="96">
        <f>F134+F139+F142</f>
        <v>1302.6410000000001</v>
      </c>
      <c r="G133" s="96">
        <f t="shared" ref="G133" si="11">G134+G139+G142</f>
        <v>39269.815454999996</v>
      </c>
      <c r="H133" s="96">
        <f>H134+H139+H142</f>
        <v>41670.184544999996</v>
      </c>
      <c r="I133" s="96">
        <f>I134+I139+I142</f>
        <v>34212.241020000001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60918</v>
      </c>
      <c r="E134" s="125">
        <f>E135+E136+E137+E138</f>
        <v>59504</v>
      </c>
      <c r="F134" s="127">
        <f>F135+F136+F137+F138</f>
        <v>1067.9625699999999</v>
      </c>
      <c r="G134" s="127">
        <f>G135+G136+G138+G137</f>
        <v>31263.559354999998</v>
      </c>
      <c r="H134" s="127">
        <f>H135+H136+H137+H138</f>
        <v>28240.440645000002</v>
      </c>
      <c r="I134" s="127">
        <f>I135+I136+I137+I138</f>
        <v>26916.836640000001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16169</v>
      </c>
      <c r="E135" s="65">
        <v>17504</v>
      </c>
      <c r="F135" s="129">
        <f>267.90111</f>
        <v>267.90111000000002</v>
      </c>
      <c r="G135" s="129">
        <v>4932.3840899999996</v>
      </c>
      <c r="H135" s="129">
        <f>E135-G135</f>
        <v>12571.61591</v>
      </c>
      <c r="I135" s="129">
        <f>3816.36865</f>
        <v>3816.3686499999999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16559</v>
      </c>
      <c r="E136" s="65">
        <v>15084</v>
      </c>
      <c r="F136" s="129">
        <f>244.69686</f>
        <v>244.69685999999999</v>
      </c>
      <c r="G136" s="129">
        <v>9410.7180000000008</v>
      </c>
      <c r="H136" s="129">
        <f>E136-G136</f>
        <v>5673.2819999999992</v>
      </c>
      <c r="I136" s="129">
        <f>6972.52492</f>
        <v>6972.5249199999998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15131</v>
      </c>
      <c r="E137" s="65">
        <v>15023</v>
      </c>
      <c r="F137" s="129">
        <f>267.3744</f>
        <v>267.37439999999998</v>
      </c>
      <c r="G137" s="129">
        <v>8176.0379099999991</v>
      </c>
      <c r="H137" s="129">
        <f>E137-G137</f>
        <v>6846.9620900000009</v>
      </c>
      <c r="I137" s="129">
        <f>8380.7458</f>
        <v>8380.7458000000006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13057</v>
      </c>
      <c r="E138" s="65">
        <v>11893</v>
      </c>
      <c r="F138" s="129">
        <f>287.9902</f>
        <v>287.99020000000002</v>
      </c>
      <c r="G138" s="129">
        <v>8744.419355</v>
      </c>
      <c r="H138" s="129">
        <f>E138-G138</f>
        <v>3148.580645</v>
      </c>
      <c r="I138" s="129">
        <f>7747.19727</f>
        <v>7747.1972699999997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8713</v>
      </c>
      <c r="E139" s="60">
        <f>E141+E140</f>
        <v>9432</v>
      </c>
      <c r="F139" s="134">
        <f>SUM(F140:F141)</f>
        <v>39.091200000000001</v>
      </c>
      <c r="G139" s="134">
        <f>SUM(G140:G141)</f>
        <v>5628.0221000000001</v>
      </c>
      <c r="H139" s="134">
        <f>H140+H141</f>
        <v>3803.9778999999999</v>
      </c>
      <c r="I139" s="134">
        <f>SUM(I140:I141)</f>
        <v>5291.3351000000002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8213</v>
      </c>
      <c r="E140" s="65">
        <v>8932</v>
      </c>
      <c r="F140" s="129">
        <f>31.28085</f>
        <v>31.280850000000001</v>
      </c>
      <c r="G140" s="129">
        <f>5510.66777</f>
        <v>5510.66777</v>
      </c>
      <c r="H140" s="129">
        <f t="shared" ref="H140:H147" si="12">E140-G140</f>
        <v>3421.33223</v>
      </c>
      <c r="I140" s="129">
        <f>5204.22779</f>
        <v>5204.2277899999999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7.81035</f>
        <v>7.8103499999999997</v>
      </c>
      <c r="G141" s="129">
        <f>117.35433</f>
        <v>117.35433</v>
      </c>
      <c r="H141" s="129">
        <f t="shared" si="12"/>
        <v>382.64567</v>
      </c>
      <c r="I141" s="129">
        <f>87.10731</f>
        <v>87.107309999999998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11090</v>
      </c>
      <c r="E142" s="63">
        <v>12004</v>
      </c>
      <c r="F142" s="77">
        <f>195.58723</f>
        <v>195.58723000000001</v>
      </c>
      <c r="G142" s="77">
        <f>2378.234</f>
        <v>2378.2339999999999</v>
      </c>
      <c r="H142" s="77">
        <f t="shared" si="12"/>
        <v>9625.7659999999996</v>
      </c>
      <c r="I142" s="77">
        <f>2004.06928</f>
        <v>2004.0692799999999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3</f>
        <v>3</v>
      </c>
      <c r="G143" s="141">
        <f>20.99741</f>
        <v>20.997409999999999</v>
      </c>
      <c r="H143" s="141">
        <f t="shared" si="12"/>
        <v>116.00259</v>
      </c>
      <c r="I143" s="141">
        <f>20.82827</f>
        <v>20.82827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0</f>
        <v>0</v>
      </c>
      <c r="H144" s="100">
        <f t="shared" si="12"/>
        <v>250</v>
      </c>
      <c r="I144" s="100">
        <f>0</f>
        <v>0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15.94938</f>
        <v>15.94938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3">D128+D132+D133+D143+D144+D145+D146+D147+D148</f>
        <v>212544</v>
      </c>
      <c r="E150" s="78">
        <f t="shared" si="13"/>
        <v>203235</v>
      </c>
      <c r="F150" s="78">
        <f>F128+F132+F133+F143+F144+F145+F146+F147+F148</f>
        <v>2481.9031800000002</v>
      </c>
      <c r="G150" s="78">
        <f>G128+G132+G133+G143+G144+G145+G146+G147+G148</f>
        <v>72437.786499999987</v>
      </c>
      <c r="H150" s="78">
        <f>H128+H132+H133+H143+H144+H145+H146+H147+H148</f>
        <v>130797.2135</v>
      </c>
      <c r="I150" s="78">
        <f>I128+I132+I133+I143+I144+I145+I146+I147+I148</f>
        <v>63243.877049999996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131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144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147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132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120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120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120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140</v>
      </c>
      <c r="F174" s="15" t="s">
        <v>141</v>
      </c>
      <c r="G174" s="56" t="s">
        <v>142</v>
      </c>
      <c r="H174" s="15" t="s">
        <v>143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12.73948</f>
        <v>12.73948</v>
      </c>
      <c r="F175" s="274">
        <f>557.66216</f>
        <v>557.66215999999997</v>
      </c>
      <c r="G175" s="45">
        <f>D175-F175-F176</f>
        <v>4144.38958</v>
      </c>
      <c r="H175" s="274">
        <f>393.47837</f>
        <v>393.47836999999998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41.888</f>
        <v>41.887999999999998</v>
      </c>
      <c r="F176" s="154">
        <f>285.94826</f>
        <v>285.94826</v>
      </c>
      <c r="G176" s="215"/>
      <c r="H176" s="154">
        <f>554.49333</f>
        <v>554.49333000000001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</f>
        <v>0</v>
      </c>
      <c r="F177" s="174">
        <f>32.37132</f>
        <v>32.371319999999997</v>
      </c>
      <c r="G177" s="174">
        <f>D177-F177</f>
        <v>167.62868</v>
      </c>
      <c r="H177" s="174">
        <f>32.254</f>
        <v>32.253999999999998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2.8770600000000002</v>
      </c>
      <c r="F178" s="183">
        <f>F179+F180+F181</f>
        <v>23.363399999999999</v>
      </c>
      <c r="G178" s="183">
        <f>D178-F178</f>
        <v>7457.6365999999998</v>
      </c>
      <c r="H178" s="183">
        <f>H179+H180+H181</f>
        <v>23.382639999999999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1.57922</f>
        <v>1.5792200000000001</v>
      </c>
      <c r="F179" s="129">
        <f>7.65092</f>
        <v>7.6509200000000002</v>
      </c>
      <c r="G179" s="129"/>
      <c r="H179" s="129">
        <f>1.84204</f>
        <v>1.8420399999999999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1.29784</f>
        <v>1.2978400000000001</v>
      </c>
      <c r="F180" s="129">
        <f>14.60836</f>
        <v>14.608359999999999</v>
      </c>
      <c r="G180" s="129"/>
      <c r="H180" s="129">
        <f>17.28147</f>
        <v>17.281469999999999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0</f>
        <v>0</v>
      </c>
      <c r="F181" s="194">
        <f>1.10412</f>
        <v>1.10412</v>
      </c>
      <c r="G181" s="194"/>
      <c r="H181" s="194">
        <f>4.25913</f>
        <v>4.2591299999999999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57.504539999999999</v>
      </c>
      <c r="F184" s="196">
        <f>F175+F176+F177+F178+F182+F183</f>
        <v>899.3451399999999</v>
      </c>
      <c r="G184" s="196">
        <f>D184-F184</f>
        <v>11835.654860000001</v>
      </c>
      <c r="H184" s="196">
        <f>H175+H176+H177+H178+H182+H183</f>
        <v>1003.6083400000001</v>
      </c>
      <c r="I184" s="165"/>
      <c r="J184" s="162"/>
    </row>
    <row r="185" spans="1:10" ht="42" customHeight="1" x14ac:dyDescent="0.25">
      <c r="A185" s="1"/>
      <c r="B185" s="200"/>
      <c r="C185" s="225" t="s">
        <v>133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120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120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120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134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135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136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140</v>
      </c>
      <c r="F203" s="68" t="s">
        <v>141</v>
      </c>
      <c r="G203" s="68" t="s">
        <v>142</v>
      </c>
      <c r="H203" s="68" t="s">
        <v>143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51.65848</f>
        <v>51.658479999999997</v>
      </c>
      <c r="F204" s="124">
        <f>7793.5589</f>
        <v>7793.5589</v>
      </c>
      <c r="G204" s="124">
        <f>D204-F204</f>
        <v>36045.441099999996</v>
      </c>
      <c r="H204" s="124">
        <f>4432.68742</f>
        <v>4432.6874200000002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0.52343</f>
        <v>0.52342999999999995</v>
      </c>
      <c r="F205" s="124">
        <f>1.38667</f>
        <v>1.3866700000000001</v>
      </c>
      <c r="G205" s="124">
        <f>D205-F205</f>
        <v>98.613330000000005</v>
      </c>
      <c r="H205" s="124">
        <f>18.96536</f>
        <v>18.96536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52.181909999999995</v>
      </c>
      <c r="F207" s="190">
        <f>SUM(F204:F206)</f>
        <v>7794.9455699999999</v>
      </c>
      <c r="G207" s="190">
        <f>D207-F207</f>
        <v>36186.054430000004</v>
      </c>
      <c r="H207" s="190">
        <f>SUM(H204:H206)</f>
        <v>4451.6527800000003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120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30" customHeight="1" x14ac:dyDescent="0.25">
      <c r="A243" s="216"/>
      <c r="B243" s="216"/>
      <c r="C243" s="217" t="s">
        <v>90</v>
      </c>
      <c r="D243" s="216"/>
      <c r="E243" s="216"/>
      <c r="F243" s="216"/>
      <c r="G243" s="216"/>
      <c r="H243" s="216"/>
      <c r="I243" s="216"/>
      <c r="J243" s="222"/>
    </row>
    <row r="244" spans="1:10" ht="30" customHeight="1" x14ac:dyDescent="0.25">
      <c r="A244" s="216" t="s">
        <v>120</v>
      </c>
      <c r="B244" s="216"/>
      <c r="C244" s="217"/>
      <c r="D244" s="216"/>
      <c r="E244" s="216"/>
      <c r="F244" s="216"/>
      <c r="G244" s="216"/>
      <c r="H244" s="216"/>
      <c r="I244" s="216"/>
      <c r="J244" s="222"/>
    </row>
    <row r="245" spans="1:10" ht="14.1" customHeight="1" x14ac:dyDescent="0.25">
      <c r="A245" s="1"/>
      <c r="B245" s="138"/>
      <c r="C245" s="176"/>
      <c r="D245" s="176"/>
      <c r="E245" s="176"/>
      <c r="F245" s="176"/>
      <c r="G245" s="176"/>
      <c r="H245" s="176"/>
      <c r="I245" s="176"/>
      <c r="J245" s="164"/>
    </row>
    <row r="246" spans="1:10" ht="14.1" customHeight="1" x14ac:dyDescent="0.25">
      <c r="A246" s="159"/>
      <c r="B246" s="54"/>
      <c r="C246" s="151" t="s">
        <v>1</v>
      </c>
      <c r="D246" s="187"/>
      <c r="E246" s="152"/>
      <c r="F246" s="152"/>
      <c r="G246" s="159"/>
      <c r="H246" s="159"/>
      <c r="I246" s="159"/>
      <c r="J246" s="122"/>
    </row>
    <row r="247" spans="1:10" ht="14.1" customHeight="1" x14ac:dyDescent="0.25">
      <c r="A247" s="1"/>
      <c r="B247" s="252"/>
      <c r="C247" s="257" t="s">
        <v>85</v>
      </c>
      <c r="D247" s="268">
        <v>3299</v>
      </c>
      <c r="E247" s="152"/>
      <c r="F247" s="223"/>
      <c r="G247" s="1"/>
      <c r="H247" s="1"/>
      <c r="I247" s="1"/>
      <c r="J247" s="122"/>
    </row>
    <row r="248" spans="1:10" ht="14.1" customHeight="1" x14ac:dyDescent="0.25">
      <c r="A248" s="1"/>
      <c r="B248" s="252"/>
      <c r="C248" s="246" t="s">
        <v>91</v>
      </c>
      <c r="D248" s="46">
        <v>9882</v>
      </c>
      <c r="E248" s="152"/>
      <c r="F248" s="223"/>
      <c r="G248" s="1"/>
      <c r="H248" s="1"/>
      <c r="I248" s="1"/>
      <c r="J248" s="122"/>
    </row>
    <row r="249" spans="1:10" ht="14.1" customHeight="1" x14ac:dyDescent="0.25">
      <c r="A249" s="1"/>
      <c r="B249" s="252"/>
      <c r="C249" s="246" t="s">
        <v>92</v>
      </c>
      <c r="D249" s="46">
        <v>8089</v>
      </c>
      <c r="E249" s="152"/>
      <c r="F249" s="223"/>
      <c r="G249" s="1"/>
      <c r="H249" s="1"/>
      <c r="I249" s="1"/>
      <c r="J249" s="122"/>
    </row>
    <row r="250" spans="1:10" ht="13.5" customHeight="1" x14ac:dyDescent="0.25">
      <c r="A250" s="1"/>
      <c r="B250" s="252"/>
      <c r="C250" s="246" t="s">
        <v>75</v>
      </c>
      <c r="D250" s="46">
        <v>382</v>
      </c>
      <c r="E250" s="152"/>
      <c r="F250" s="223"/>
      <c r="G250" s="1"/>
      <c r="H250" s="1"/>
      <c r="I250" s="1"/>
      <c r="J250" s="122"/>
    </row>
    <row r="251" spans="1:10" ht="14.25" customHeight="1" x14ac:dyDescent="0.25">
      <c r="A251" s="1"/>
      <c r="B251" s="252"/>
      <c r="C251" s="57" t="s">
        <v>50</v>
      </c>
      <c r="D251" s="35">
        <f>SUM(D247:D250)</f>
        <v>21652</v>
      </c>
      <c r="E251" s="152"/>
      <c r="F251" s="152"/>
      <c r="G251" s="1"/>
      <c r="H251" s="1"/>
      <c r="I251" s="1"/>
      <c r="J251" s="122"/>
    </row>
    <row r="252" spans="1:10" ht="14.1" customHeight="1" x14ac:dyDescent="0.25">
      <c r="A252" s="1"/>
      <c r="B252" s="252"/>
      <c r="C252" s="226" t="s">
        <v>93</v>
      </c>
      <c r="D252" s="227"/>
      <c r="E252" s="181"/>
      <c r="F252" s="181"/>
      <c r="G252" s="1"/>
      <c r="H252" s="1"/>
      <c r="I252" s="1"/>
      <c r="J252" s="122"/>
    </row>
    <row r="253" spans="1:10" ht="15" customHeight="1" x14ac:dyDescent="0.25">
      <c r="A253" s="1"/>
      <c r="B253" s="252"/>
      <c r="C253" s="101" t="s">
        <v>94</v>
      </c>
      <c r="D253" s="228"/>
      <c r="E253" s="1"/>
      <c r="F253" s="1"/>
      <c r="G253" s="1"/>
      <c r="H253" s="1"/>
      <c r="I253" s="1"/>
      <c r="J253" s="122"/>
    </row>
    <row r="254" spans="1:10" ht="14.25" customHeight="1" x14ac:dyDescent="0.25">
      <c r="A254" s="1"/>
      <c r="B254" s="252"/>
      <c r="C254" s="101" t="s">
        <v>95</v>
      </c>
      <c r="D254" s="1"/>
      <c r="E254" s="1"/>
      <c r="F254" s="1"/>
      <c r="G254" s="1"/>
      <c r="H254" s="1"/>
      <c r="I254" s="1"/>
      <c r="J254" s="122"/>
    </row>
    <row r="255" spans="1:10" ht="23.25" customHeight="1" x14ac:dyDescent="0.25">
      <c r="A255" s="1"/>
      <c r="B255" s="229"/>
      <c r="C255" s="232" t="s">
        <v>15</v>
      </c>
      <c r="D255" s="232"/>
      <c r="E255" s="232"/>
      <c r="F255" s="232"/>
      <c r="G255" s="232"/>
      <c r="H255" s="232"/>
      <c r="I255" s="232"/>
      <c r="J255" s="236"/>
    </row>
    <row r="256" spans="1:10" ht="14.1" customHeight="1" x14ac:dyDescent="0.25">
      <c r="A256" s="1"/>
      <c r="B256" s="238"/>
      <c r="C256" s="240"/>
      <c r="D256" s="240"/>
      <c r="E256" s="240"/>
      <c r="F256" s="240"/>
      <c r="G256" s="240"/>
      <c r="H256" s="240"/>
      <c r="I256" s="240"/>
      <c r="J256" s="122"/>
    </row>
    <row r="257" spans="1:10" ht="54" customHeight="1" x14ac:dyDescent="0.25">
      <c r="A257" s="1"/>
      <c r="B257" s="252"/>
      <c r="C257" s="68" t="s">
        <v>16</v>
      </c>
      <c r="D257" s="241" t="s">
        <v>2</v>
      </c>
      <c r="E257" s="68" t="s">
        <v>140</v>
      </c>
      <c r="F257" s="68" t="s">
        <v>141</v>
      </c>
      <c r="G257" s="68" t="s">
        <v>142</v>
      </c>
      <c r="H257" s="68" t="s">
        <v>143</v>
      </c>
      <c r="I257" s="1"/>
      <c r="J257" s="118"/>
    </row>
    <row r="258" spans="1:10" ht="14.1" customHeight="1" x14ac:dyDescent="0.25">
      <c r="A258" s="70"/>
      <c r="B258" s="81"/>
      <c r="C258" s="90" t="s">
        <v>96</v>
      </c>
      <c r="D258" s="124">
        <v>800</v>
      </c>
      <c r="E258" s="124">
        <f>9.26327</f>
        <v>9.2632700000000003</v>
      </c>
      <c r="F258" s="124">
        <f>124.75328</f>
        <v>124.75328</v>
      </c>
      <c r="G258" s="124">
        <f>D258-F258</f>
        <v>675.24671999999998</v>
      </c>
      <c r="H258" s="124">
        <f>70.60621</f>
        <v>70.606210000000004</v>
      </c>
      <c r="I258" s="70"/>
      <c r="J258" s="242"/>
    </row>
    <row r="259" spans="1:10" ht="14.1" customHeight="1" x14ac:dyDescent="0.25">
      <c r="A259" s="1"/>
      <c r="B259" s="252"/>
      <c r="C259" s="90" t="s">
        <v>97</v>
      </c>
      <c r="D259" s="244">
        <v>2494</v>
      </c>
      <c r="E259" s="124">
        <f>18.9768</f>
        <v>18.976800000000001</v>
      </c>
      <c r="F259" s="124">
        <f>448.38566</f>
        <v>448.38565999999997</v>
      </c>
      <c r="G259" s="124">
        <f>D259-F259</f>
        <v>2045.6143400000001</v>
      </c>
      <c r="H259" s="124">
        <f>219.2838</f>
        <v>219.28380000000001</v>
      </c>
      <c r="I259" s="181"/>
      <c r="J259" s="118"/>
    </row>
    <row r="260" spans="1:10" ht="16.5" customHeight="1" x14ac:dyDescent="0.25">
      <c r="A260" s="70"/>
      <c r="B260" s="81"/>
      <c r="C260" s="146" t="s">
        <v>82</v>
      </c>
      <c r="D260" s="244">
        <v>5</v>
      </c>
      <c r="E260" s="168">
        <f>0.54516</f>
        <v>0.54515999999999998</v>
      </c>
      <c r="F260" s="168">
        <f>0.6352</f>
        <v>0.63519999999999999</v>
      </c>
      <c r="G260" s="124">
        <f>D260-F260</f>
        <v>4.3647999999999998</v>
      </c>
      <c r="H260" s="168">
        <f>0.357</f>
        <v>0.35699999999999998</v>
      </c>
      <c r="I260" s="70"/>
      <c r="J260" s="247"/>
    </row>
    <row r="261" spans="1:10" ht="18.75" customHeight="1" x14ac:dyDescent="0.25">
      <c r="A261" s="70"/>
      <c r="B261" s="248"/>
      <c r="C261" s="146" t="s">
        <v>98</v>
      </c>
      <c r="D261" s="220"/>
      <c r="E261" s="168">
        <f>0.0026</f>
        <v>2.5999999999999999E-3</v>
      </c>
      <c r="F261" s="168">
        <f>0.19282</f>
        <v>0.19281999999999999</v>
      </c>
      <c r="G261" s="124"/>
      <c r="H261" s="168">
        <f>0.97727</f>
        <v>0.97726999999999997</v>
      </c>
      <c r="I261" s="282"/>
      <c r="J261" s="122"/>
    </row>
    <row r="262" spans="1:10" ht="14.1" customHeight="1" x14ac:dyDescent="0.25">
      <c r="A262" s="1"/>
      <c r="B262" s="252"/>
      <c r="C262" s="179" t="s">
        <v>88</v>
      </c>
      <c r="D262" s="6">
        <f>D247</f>
        <v>3299</v>
      </c>
      <c r="E262" s="190">
        <f>SUM(E258:E261)</f>
        <v>28.787830000000003</v>
      </c>
      <c r="F262" s="190">
        <f>SUM(F258:F261)</f>
        <v>573.96695999999997</v>
      </c>
      <c r="G262" s="190">
        <f>D262-F262</f>
        <v>2725.0330400000003</v>
      </c>
      <c r="H262" s="190">
        <f>H258+H259+H260+H261</f>
        <v>291.22428000000002</v>
      </c>
      <c r="I262" s="1"/>
      <c r="J262" s="122"/>
    </row>
    <row r="263" spans="1:10" ht="14.1" customHeight="1" x14ac:dyDescent="0.25">
      <c r="A263" s="1"/>
      <c r="B263" s="252"/>
      <c r="C263" s="21"/>
      <c r="D263" s="34"/>
      <c r="E263" s="34"/>
      <c r="F263" s="34"/>
      <c r="G263" s="34"/>
      <c r="H263" s="34"/>
      <c r="I263" s="1"/>
      <c r="J263" s="122"/>
    </row>
    <row r="264" spans="1:10" ht="14.1" customHeight="1" x14ac:dyDescent="0.25">
      <c r="A264" s="1"/>
      <c r="B264" s="166"/>
      <c r="C264" s="109"/>
      <c r="D264" s="109"/>
      <c r="E264" s="109"/>
      <c r="F264" s="109"/>
      <c r="G264" s="108"/>
      <c r="H264" s="109"/>
      <c r="I264" s="109"/>
      <c r="J264" s="120"/>
    </row>
    <row r="265" spans="1:10" ht="14.1" customHeight="1" x14ac:dyDescent="0.25">
      <c r="A265" s="1"/>
      <c r="C265" s="152" t="s">
        <v>120</v>
      </c>
    </row>
    <row r="266" spans="1:10" ht="14.1" customHeight="1" x14ac:dyDescent="0.25">
      <c r="A266" s="1" t="s">
        <v>120</v>
      </c>
    </row>
    <row r="267" spans="1:10" ht="14.1" customHeight="1" x14ac:dyDescent="0.25">
      <c r="A267" s="1" t="s">
        <v>120</v>
      </c>
    </row>
    <row r="268" spans="1:10" ht="14.1" customHeight="1" x14ac:dyDescent="0.25">
      <c r="A268" s="1"/>
      <c r="C268" s="152" t="s">
        <v>120</v>
      </c>
    </row>
    <row r="269" spans="1:10" ht="36" customHeight="1" x14ac:dyDescent="0.25">
      <c r="A269" s="1"/>
      <c r="C269" s="152" t="s">
        <v>120</v>
      </c>
    </row>
    <row r="270" spans="1:10" ht="14.1" customHeight="1" x14ac:dyDescent="0.25">
      <c r="A270" s="1"/>
      <c r="C270" s="152" t="s">
        <v>120</v>
      </c>
    </row>
    <row r="271" spans="1:10" ht="14.1" customHeight="1" x14ac:dyDescent="0.25">
      <c r="A271" s="1"/>
      <c r="C271" s="152" t="s">
        <v>120</v>
      </c>
    </row>
    <row r="272" spans="1:10" ht="30" customHeight="1" x14ac:dyDescent="0.35">
      <c r="A272" s="216"/>
      <c r="B272" s="1"/>
      <c r="C272" s="213" t="s">
        <v>99</v>
      </c>
      <c r="D272" s="159"/>
      <c r="E272" s="1"/>
      <c r="F272" s="1"/>
      <c r="G272" s="1"/>
      <c r="H272" s="1"/>
      <c r="I272" s="1"/>
      <c r="J272" s="1"/>
    </row>
    <row r="273" spans="1:10" ht="17.100000000000001" customHeight="1" x14ac:dyDescent="0.25">
      <c r="B273" s="126"/>
      <c r="C273" s="237"/>
      <c r="D273" s="237"/>
      <c r="E273" s="237"/>
      <c r="F273" s="237"/>
      <c r="G273" s="237"/>
      <c r="H273" s="237"/>
      <c r="I273" s="237"/>
      <c r="J273" s="62"/>
    </row>
    <row r="274" spans="1:10" ht="6" customHeight="1" x14ac:dyDescent="0.25">
      <c r="B274" s="74"/>
      <c r="C274" s="152"/>
      <c r="D274" s="152"/>
      <c r="E274" s="152"/>
      <c r="F274" s="152"/>
      <c r="G274" s="152"/>
      <c r="H274" s="152"/>
      <c r="I274" s="152"/>
      <c r="J274" s="132"/>
    </row>
    <row r="275" spans="1:10" ht="18" customHeight="1" x14ac:dyDescent="0.25">
      <c r="B275" s="74"/>
      <c r="C275" s="151" t="s">
        <v>1</v>
      </c>
      <c r="D275" s="187"/>
      <c r="E275" s="151" t="s">
        <v>100</v>
      </c>
      <c r="F275" s="187"/>
      <c r="G275" s="151" t="s">
        <v>101</v>
      </c>
      <c r="H275" s="187"/>
      <c r="I275" s="152"/>
      <c r="J275" s="132"/>
    </row>
    <row r="276" spans="1:10" ht="14.25" customHeight="1" x14ac:dyDescent="0.25">
      <c r="B276" s="74"/>
      <c r="C276" s="257" t="s">
        <v>85</v>
      </c>
      <c r="D276" s="268">
        <v>27365</v>
      </c>
      <c r="E276" s="250" t="s">
        <v>4</v>
      </c>
      <c r="F276" s="105">
        <v>13865</v>
      </c>
      <c r="G276" s="246" t="s">
        <v>20</v>
      </c>
      <c r="H276" s="46">
        <v>6472</v>
      </c>
      <c r="I276" s="152"/>
      <c r="J276" s="132"/>
    </row>
    <row r="277" spans="1:10" ht="14.25" customHeight="1" x14ac:dyDescent="0.25">
      <c r="B277" s="74"/>
      <c r="C277" s="246" t="s">
        <v>92</v>
      </c>
      <c r="D277" s="46">
        <v>19433</v>
      </c>
      <c r="E277" s="181" t="s">
        <v>97</v>
      </c>
      <c r="F277" s="49">
        <v>8000</v>
      </c>
      <c r="G277" s="246" t="s">
        <v>21</v>
      </c>
      <c r="H277" s="46">
        <v>1684</v>
      </c>
      <c r="I277" s="152"/>
      <c r="J277" s="132"/>
    </row>
    <row r="278" spans="1:10" ht="14.25" customHeight="1" x14ac:dyDescent="0.25">
      <c r="B278" s="74"/>
      <c r="C278" s="246" t="s">
        <v>91</v>
      </c>
      <c r="D278" s="46">
        <v>6186</v>
      </c>
      <c r="E278" s="181" t="s">
        <v>60</v>
      </c>
      <c r="F278" s="49">
        <v>5500</v>
      </c>
      <c r="G278" s="246" t="s">
        <v>102</v>
      </c>
      <c r="H278" s="46">
        <v>4296</v>
      </c>
      <c r="I278" s="152"/>
      <c r="J278" s="132"/>
    </row>
    <row r="279" spans="1:10" ht="14.1" customHeight="1" x14ac:dyDescent="0.25">
      <c r="B279" s="74"/>
      <c r="C279" s="246"/>
      <c r="D279" s="46"/>
      <c r="E279" s="133"/>
      <c r="F279" s="147"/>
      <c r="G279" s="246" t="s">
        <v>103</v>
      </c>
      <c r="H279" s="46">
        <v>1313</v>
      </c>
      <c r="I279" s="152"/>
      <c r="J279" s="132"/>
    </row>
    <row r="280" spans="1:10" ht="14.1" customHeight="1" x14ac:dyDescent="0.25">
      <c r="B280" s="74"/>
      <c r="C280" s="57" t="s">
        <v>50</v>
      </c>
      <c r="D280" s="35">
        <v>53374</v>
      </c>
      <c r="E280" s="175" t="s">
        <v>104</v>
      </c>
      <c r="F280" s="35">
        <f>F276+F277+F278</f>
        <v>27365</v>
      </c>
      <c r="G280" s="57" t="s">
        <v>4</v>
      </c>
      <c r="H280" s="35">
        <f>SUM(H276:H279)</f>
        <v>13765</v>
      </c>
      <c r="I280" s="152"/>
      <c r="J280" s="132"/>
    </row>
    <row r="281" spans="1:10" ht="13.35" customHeight="1" x14ac:dyDescent="0.25">
      <c r="B281" s="74"/>
      <c r="C281" s="101" t="s">
        <v>121</v>
      </c>
      <c r="D281" s="181"/>
      <c r="E281" s="181"/>
      <c r="F281" s="181"/>
      <c r="G281" s="1"/>
      <c r="H281" s="181"/>
      <c r="I281" s="181"/>
      <c r="J281" s="242"/>
    </row>
    <row r="282" spans="1:10" ht="13.35" customHeight="1" x14ac:dyDescent="0.25">
      <c r="B282" s="74"/>
      <c r="C282" s="101" t="s">
        <v>105</v>
      </c>
      <c r="D282" s="1"/>
      <c r="E282" s="1"/>
      <c r="F282" s="1"/>
      <c r="G282" s="1"/>
      <c r="H282" s="1"/>
      <c r="I282" s="1"/>
      <c r="J282" s="122"/>
    </row>
    <row r="283" spans="1:10" ht="9.75" customHeight="1" x14ac:dyDescent="0.25">
      <c r="B283" s="74"/>
      <c r="C283" s="101"/>
      <c r="D283" s="1"/>
      <c r="E283" s="1"/>
      <c r="F283" s="1"/>
      <c r="G283" s="1"/>
      <c r="H283" s="1"/>
      <c r="I283" s="1"/>
      <c r="J283" s="122"/>
    </row>
    <row r="284" spans="1:10" ht="18" customHeight="1" x14ac:dyDescent="0.25">
      <c r="B284" s="74"/>
      <c r="C284" s="152"/>
      <c r="D284" s="152"/>
      <c r="E284" s="152"/>
      <c r="F284" s="152"/>
      <c r="G284" s="152"/>
      <c r="H284" s="152"/>
      <c r="I284" s="152"/>
      <c r="J284" s="132"/>
    </row>
    <row r="285" spans="1:10" ht="29.25" customHeight="1" x14ac:dyDescent="0.25">
      <c r="B285" s="229"/>
      <c r="C285" s="232" t="s">
        <v>15</v>
      </c>
      <c r="D285" s="232"/>
      <c r="E285" s="232"/>
      <c r="F285" s="232"/>
      <c r="G285" s="232"/>
      <c r="H285" s="232"/>
      <c r="I285" s="232"/>
      <c r="J285" s="236"/>
    </row>
    <row r="286" spans="1:10" ht="18.75" customHeight="1" x14ac:dyDescent="0.25">
      <c r="B286" s="200"/>
      <c r="C286" s="222"/>
      <c r="D286" s="222"/>
      <c r="E286" s="222"/>
      <c r="F286" s="222"/>
      <c r="G286" s="222"/>
      <c r="H286" s="222"/>
      <c r="I286" s="222"/>
      <c r="J286" s="13"/>
    </row>
    <row r="287" spans="1:10" ht="64.5" customHeight="1" x14ac:dyDescent="0.25">
      <c r="B287" s="74"/>
      <c r="C287" s="221" t="s">
        <v>16</v>
      </c>
      <c r="D287" s="230" t="s">
        <v>17</v>
      </c>
      <c r="E287" s="68" t="s">
        <v>106</v>
      </c>
      <c r="F287" s="221" t="s">
        <v>140</v>
      </c>
      <c r="G287" s="221" t="s">
        <v>141</v>
      </c>
      <c r="H287" s="221" t="s">
        <v>142</v>
      </c>
      <c r="I287" s="221" t="s">
        <v>143</v>
      </c>
      <c r="J287" s="132"/>
    </row>
    <row r="288" spans="1:10" ht="14.1" customHeight="1" x14ac:dyDescent="0.25">
      <c r="A288" s="216"/>
      <c r="B288" s="74"/>
      <c r="C288" s="245" t="s">
        <v>19</v>
      </c>
      <c r="D288" s="249">
        <f t="shared" ref="D288:I288" si="14">D292+D291+D290+D289</f>
        <v>13765</v>
      </c>
      <c r="E288" s="249">
        <f t="shared" si="14"/>
        <v>16102</v>
      </c>
      <c r="F288" s="251">
        <f t="shared" si="14"/>
        <v>115.67660000000001</v>
      </c>
      <c r="G288" s="251">
        <f t="shared" si="14"/>
        <v>3174.2398800000001</v>
      </c>
      <c r="H288" s="251">
        <f>H292+H291+H290+H289</f>
        <v>12927.760119999999</v>
      </c>
      <c r="I288" s="251">
        <f t="shared" si="14"/>
        <v>1070.51242</v>
      </c>
      <c r="J288" s="132"/>
    </row>
    <row r="289" spans="1:10" ht="14.1" customHeight="1" x14ac:dyDescent="0.25">
      <c r="A289" s="216"/>
      <c r="B289" s="74"/>
      <c r="C289" s="253" t="s">
        <v>107</v>
      </c>
      <c r="D289" s="254">
        <v>6472</v>
      </c>
      <c r="E289" s="254">
        <v>8177</v>
      </c>
      <c r="F289" s="255">
        <f>0</f>
        <v>0</v>
      </c>
      <c r="G289" s="255">
        <f>1618.56418</f>
        <v>1618.5641800000001</v>
      </c>
      <c r="H289" s="255">
        <f t="shared" ref="H289:H293" si="15">E289-G289</f>
        <v>6558.4358199999997</v>
      </c>
      <c r="I289" s="255">
        <f>146.0295</f>
        <v>146.02950000000001</v>
      </c>
      <c r="J289" s="132"/>
    </row>
    <row r="290" spans="1:10" ht="14.1" customHeight="1" x14ac:dyDescent="0.25">
      <c r="A290" s="216"/>
      <c r="B290" s="74"/>
      <c r="C290" s="258" t="s">
        <v>21</v>
      </c>
      <c r="D290" s="254">
        <v>1684</v>
      </c>
      <c r="E290" s="254">
        <v>2128</v>
      </c>
      <c r="F290" s="255">
        <f>0</f>
        <v>0</v>
      </c>
      <c r="G290" s="255">
        <f>566.163</f>
        <v>566.16300000000001</v>
      </c>
      <c r="H290" s="255">
        <f t="shared" si="15"/>
        <v>1561.837</v>
      </c>
      <c r="I290" s="255">
        <f>437.3622</f>
        <v>437.36219999999997</v>
      </c>
      <c r="J290" s="132"/>
    </row>
    <row r="291" spans="1:10" ht="14.1" customHeight="1" x14ac:dyDescent="0.25">
      <c r="A291" s="216"/>
      <c r="B291" s="74"/>
      <c r="C291" s="258" t="s">
        <v>103</v>
      </c>
      <c r="D291" s="254">
        <v>1313</v>
      </c>
      <c r="E291" s="254">
        <v>1357</v>
      </c>
      <c r="F291" s="255">
        <f>101.7792</f>
        <v>101.7792</v>
      </c>
      <c r="G291" s="255">
        <f>712.25485</f>
        <v>712.25485000000003</v>
      </c>
      <c r="H291" s="255">
        <f t="shared" si="15"/>
        <v>644.74514999999997</v>
      </c>
      <c r="I291" s="255">
        <f>470.54552</f>
        <v>470.54552000000001</v>
      </c>
      <c r="J291" s="132"/>
    </row>
    <row r="292" spans="1:10" ht="14.1" customHeight="1" x14ac:dyDescent="0.25">
      <c r="A292" s="216"/>
      <c r="B292" s="74"/>
      <c r="C292" s="260" t="s">
        <v>108</v>
      </c>
      <c r="D292" s="261">
        <v>4296</v>
      </c>
      <c r="E292" s="261">
        <v>4440</v>
      </c>
      <c r="F292" s="255">
        <f>13.8974</f>
        <v>13.897399999999999</v>
      </c>
      <c r="G292" s="255">
        <f>277.25785</f>
        <v>277.25785000000002</v>
      </c>
      <c r="H292" s="255">
        <f t="shared" si="15"/>
        <v>4162.74215</v>
      </c>
      <c r="I292" s="255">
        <f>16.5752</f>
        <v>16.575199999999999</v>
      </c>
      <c r="J292" s="132"/>
    </row>
    <row r="293" spans="1:10" ht="14.1" customHeight="1" x14ac:dyDescent="0.25">
      <c r="A293" s="216"/>
      <c r="B293" s="74"/>
      <c r="C293" s="263" t="s">
        <v>60</v>
      </c>
      <c r="D293" s="264">
        <v>5500</v>
      </c>
      <c r="E293" s="264">
        <v>5500</v>
      </c>
      <c r="F293" s="266">
        <f>920.52464</f>
        <v>920.52463999999998</v>
      </c>
      <c r="G293" s="266">
        <f>1798.90966</f>
        <v>1798.90966</v>
      </c>
      <c r="H293" s="266">
        <f t="shared" si="15"/>
        <v>3701.0903399999997</v>
      </c>
      <c r="I293" s="266">
        <f>494.86324</f>
        <v>494.86324000000002</v>
      </c>
      <c r="J293" s="132"/>
    </row>
    <row r="294" spans="1:10" ht="14.1" customHeight="1" x14ac:dyDescent="0.25">
      <c r="A294" s="216"/>
      <c r="B294" s="74"/>
      <c r="C294" s="245" t="s">
        <v>22</v>
      </c>
      <c r="D294" s="249">
        <v>8000</v>
      </c>
      <c r="E294" s="249">
        <v>8000</v>
      </c>
      <c r="F294" s="267">
        <f>F296+F295</f>
        <v>28.847360000000002</v>
      </c>
      <c r="G294" s="267">
        <f>G296+G295</f>
        <v>1572.1109999999999</v>
      </c>
      <c r="H294" s="267">
        <f>E294-G294</f>
        <v>6427.8890000000001</v>
      </c>
      <c r="I294" s="267">
        <f>I296+I295</f>
        <v>1486.6800800000001</v>
      </c>
      <c r="J294" s="132"/>
    </row>
    <row r="295" spans="1:10" ht="14.1" customHeight="1" x14ac:dyDescent="0.25">
      <c r="A295" s="216"/>
      <c r="B295" s="74"/>
      <c r="C295" s="258" t="s">
        <v>54</v>
      </c>
      <c r="D295" s="269"/>
      <c r="E295" s="254"/>
      <c r="F295" s="255">
        <f>4.12965</f>
        <v>4.1296499999999998</v>
      </c>
      <c r="G295" s="255">
        <f>746.70325</f>
        <v>746.70325000000003</v>
      </c>
      <c r="H295" s="255"/>
      <c r="I295" s="255">
        <f>889.49831</f>
        <v>889.49830999999995</v>
      </c>
      <c r="J295" s="132"/>
    </row>
    <row r="296" spans="1:10" ht="14.1" customHeight="1" x14ac:dyDescent="0.25">
      <c r="A296" s="216"/>
      <c r="B296" s="74"/>
      <c r="C296" s="271" t="s">
        <v>109</v>
      </c>
      <c r="D296" s="272"/>
      <c r="E296" s="275"/>
      <c r="F296" s="276">
        <f>24.71771</f>
        <v>24.71771</v>
      </c>
      <c r="G296" s="276">
        <f>825.40775</f>
        <v>825.40774999999996</v>
      </c>
      <c r="H296" s="276"/>
      <c r="I296" s="276">
        <f>597.18177</f>
        <v>597.18177000000003</v>
      </c>
      <c r="J296" s="132"/>
    </row>
    <row r="297" spans="1:10" ht="14.1" customHeight="1" x14ac:dyDescent="0.25">
      <c r="A297" s="216"/>
      <c r="B297" s="74"/>
      <c r="C297" s="263" t="s">
        <v>34</v>
      </c>
      <c r="D297" s="264">
        <v>10</v>
      </c>
      <c r="E297" s="264">
        <v>10</v>
      </c>
      <c r="F297" s="266">
        <f>0.0084</f>
        <v>8.3999999999999995E-3</v>
      </c>
      <c r="G297" s="266">
        <f>0.0651</f>
        <v>6.5100000000000005E-2</v>
      </c>
      <c r="H297" s="266">
        <f>E297-G297</f>
        <v>9.9349000000000007</v>
      </c>
      <c r="I297" s="266">
        <f>0.1377</f>
        <v>0.13769999999999999</v>
      </c>
      <c r="J297" s="132"/>
    </row>
    <row r="298" spans="1:10" ht="14.1" customHeight="1" x14ac:dyDescent="0.25">
      <c r="A298" s="216"/>
      <c r="B298" s="74"/>
      <c r="C298" s="277" t="s">
        <v>110</v>
      </c>
      <c r="D298" s="280"/>
      <c r="E298" s="281"/>
      <c r="F298" s="266">
        <f>0.10656</f>
        <v>0.10656</v>
      </c>
      <c r="G298" s="266">
        <f>22.93132</f>
        <v>22.931319999999999</v>
      </c>
      <c r="H298" s="266">
        <f>E298-G298</f>
        <v>-22.931319999999999</v>
      </c>
      <c r="I298" s="266">
        <f>13.03097</f>
        <v>13.03097</v>
      </c>
      <c r="J298" s="132"/>
    </row>
    <row r="299" spans="1:10" ht="19.5" customHeight="1" x14ac:dyDescent="0.25">
      <c r="A299" s="216"/>
      <c r="B299" s="74"/>
      <c r="C299" s="283" t="s">
        <v>41</v>
      </c>
      <c r="D299" s="284">
        <f>D288+D293+D294+D297+D298</f>
        <v>27275</v>
      </c>
      <c r="E299" s="284">
        <f>E288+E293+E294+E297+E298</f>
        <v>29612</v>
      </c>
      <c r="F299" s="285">
        <f t="shared" ref="F299:I299" si="16">F288+F293+F294+F297+F298</f>
        <v>1065.1635599999997</v>
      </c>
      <c r="G299" s="285">
        <f t="shared" si="16"/>
        <v>6568.2569599999997</v>
      </c>
      <c r="H299" s="285">
        <f>H288+H293+H294+H297+H298</f>
        <v>23043.743039999998</v>
      </c>
      <c r="I299" s="285">
        <f t="shared" si="16"/>
        <v>3065.2244100000003</v>
      </c>
      <c r="J299" s="132"/>
    </row>
    <row r="300" spans="1:10" ht="14.1" customHeight="1" x14ac:dyDescent="0.25">
      <c r="A300" s="216"/>
      <c r="B300" s="74"/>
      <c r="C300" s="163" t="s">
        <v>111</v>
      </c>
      <c r="D300" s="287"/>
      <c r="E300" s="287"/>
      <c r="F300" s="4"/>
      <c r="G300" s="4"/>
      <c r="H300" s="5"/>
      <c r="I300" s="5"/>
      <c r="J300" s="132"/>
    </row>
    <row r="301" spans="1:10" ht="14.1" customHeight="1" x14ac:dyDescent="0.25">
      <c r="A301" s="216"/>
      <c r="B301" s="74"/>
      <c r="C301" s="101" t="s">
        <v>122</v>
      </c>
      <c r="D301" s="287"/>
      <c r="E301" s="287"/>
      <c r="F301" s="4"/>
      <c r="G301" s="4"/>
      <c r="H301" s="7"/>
      <c r="I301" s="5"/>
      <c r="J301" s="132"/>
    </row>
    <row r="302" spans="1:10" ht="14.1" customHeight="1" x14ac:dyDescent="0.25">
      <c r="A302" s="216"/>
      <c r="B302" s="74"/>
      <c r="C302" s="101" t="s">
        <v>123</v>
      </c>
      <c r="D302" s="287"/>
      <c r="E302" s="287"/>
      <c r="F302" s="4"/>
      <c r="G302" s="4"/>
      <c r="H302" s="5"/>
      <c r="I302" s="7"/>
      <c r="J302" s="132"/>
    </row>
    <row r="303" spans="1:10" ht="15.75" customHeight="1" x14ac:dyDescent="0.25">
      <c r="A303" s="216"/>
      <c r="B303" s="8"/>
      <c r="C303" s="9"/>
      <c r="D303" s="109"/>
      <c r="E303" s="109"/>
      <c r="F303" s="109"/>
      <c r="G303" s="109"/>
      <c r="H303" s="109"/>
      <c r="I303" s="109"/>
      <c r="J303" s="12"/>
    </row>
    <row r="304" spans="1:10" ht="15.75" customHeight="1" x14ac:dyDescent="0.25">
      <c r="A304" s="216"/>
      <c r="B304" s="152" t="s">
        <v>120</v>
      </c>
      <c r="C304" s="14"/>
      <c r="D304" s="1"/>
      <c r="E304" s="1"/>
      <c r="F304" s="1"/>
      <c r="G304" s="1"/>
      <c r="H304" s="1"/>
      <c r="I304" s="1"/>
      <c r="J304" s="152"/>
    </row>
    <row r="305" spans="1:10" ht="15.75" customHeight="1" x14ac:dyDescent="0.25">
      <c r="A305" s="216"/>
      <c r="B305" s="152" t="s">
        <v>120</v>
      </c>
      <c r="C305" s="14"/>
      <c r="D305" s="1"/>
      <c r="E305" s="1"/>
      <c r="F305" s="1"/>
      <c r="G305" s="1"/>
      <c r="H305" s="1"/>
      <c r="I305" s="1"/>
      <c r="J305" s="152"/>
    </row>
    <row r="306" spans="1:10" ht="14.1" customHeight="1" x14ac:dyDescent="0.25">
      <c r="A306" s="216"/>
      <c r="C306" s="152" t="s">
        <v>120</v>
      </c>
      <c r="D306" s="159"/>
    </row>
    <row r="307" spans="1:10" ht="14.1" customHeight="1" x14ac:dyDescent="0.25">
      <c r="A307" s="216"/>
      <c r="B307" s="126"/>
      <c r="C307" s="237"/>
      <c r="D307" s="17"/>
      <c r="E307" s="237"/>
      <c r="F307" s="237"/>
      <c r="G307" s="237"/>
      <c r="H307" s="237"/>
      <c r="I307" s="237"/>
      <c r="J307" s="62"/>
    </row>
    <row r="308" spans="1:10" ht="14.1" customHeight="1" x14ac:dyDescent="0.25">
      <c r="A308" s="216"/>
      <c r="B308" s="74"/>
      <c r="C308" s="217" t="s">
        <v>112</v>
      </c>
      <c r="D308" s="159"/>
      <c r="E308" s="152"/>
      <c r="G308" s="152"/>
      <c r="H308" s="152"/>
      <c r="I308" s="152"/>
      <c r="J308" s="132"/>
    </row>
    <row r="309" spans="1:10" ht="14.1" customHeight="1" x14ac:dyDescent="0.25">
      <c r="A309" s="216"/>
      <c r="B309" s="74"/>
      <c r="C309" s="152"/>
      <c r="D309" s="159"/>
      <c r="E309" s="152"/>
      <c r="G309" s="152"/>
      <c r="H309" s="152"/>
      <c r="I309" s="152"/>
      <c r="J309" s="132"/>
    </row>
    <row r="310" spans="1:10" ht="14.1" customHeight="1" x14ac:dyDescent="0.25">
      <c r="A310" s="216"/>
      <c r="B310" s="74"/>
      <c r="C310" s="151" t="s">
        <v>113</v>
      </c>
      <c r="D310" s="187"/>
      <c r="E310" s="152"/>
      <c r="F310" s="152"/>
      <c r="G310" s="152"/>
      <c r="H310" s="152"/>
      <c r="I310" s="152"/>
      <c r="J310" s="132"/>
    </row>
    <row r="311" spans="1:10" ht="14.1" customHeight="1" x14ac:dyDescent="0.25">
      <c r="A311" s="216"/>
      <c r="B311" s="74"/>
      <c r="C311" s="257" t="s">
        <v>85</v>
      </c>
      <c r="D311" s="268">
        <v>3360</v>
      </c>
      <c r="E311" s="152"/>
      <c r="F311" s="152"/>
      <c r="G311" s="152"/>
      <c r="H311" s="152"/>
      <c r="I311" s="152"/>
      <c r="J311" s="132"/>
    </row>
    <row r="312" spans="1:10" ht="14.1" customHeight="1" x14ac:dyDescent="0.25">
      <c r="A312" s="216"/>
      <c r="B312" s="74"/>
      <c r="C312" s="246" t="s">
        <v>92</v>
      </c>
      <c r="D312" s="46">
        <v>2399</v>
      </c>
      <c r="E312" s="152"/>
      <c r="G312" s="152"/>
      <c r="H312" s="152"/>
      <c r="I312" s="152"/>
      <c r="J312" s="132"/>
    </row>
    <row r="313" spans="1:10" ht="14.1" customHeight="1" x14ac:dyDescent="0.25">
      <c r="A313" s="216"/>
      <c r="B313" s="74"/>
      <c r="C313" s="246" t="s">
        <v>75</v>
      </c>
      <c r="D313" s="46">
        <v>123</v>
      </c>
      <c r="E313" s="152"/>
      <c r="F313" s="152"/>
      <c r="G313" s="152"/>
      <c r="H313" s="152"/>
      <c r="I313" s="152"/>
      <c r="J313" s="132"/>
    </row>
    <row r="314" spans="1:10" ht="14.1" customHeight="1" x14ac:dyDescent="0.25">
      <c r="A314" s="216"/>
      <c r="B314" s="74"/>
      <c r="C314" s="57" t="s">
        <v>50</v>
      </c>
      <c r="D314" s="35">
        <v>5882</v>
      </c>
      <c r="E314" s="152"/>
      <c r="F314" s="152"/>
      <c r="G314" s="152"/>
      <c r="H314" s="152"/>
      <c r="I314" s="152"/>
      <c r="J314" s="132"/>
    </row>
    <row r="315" spans="1:10" ht="14.1" customHeight="1" x14ac:dyDescent="0.25">
      <c r="A315" s="216"/>
      <c r="B315" s="74"/>
      <c r="C315" s="226" t="s">
        <v>114</v>
      </c>
      <c r="D315" s="147"/>
      <c r="E315" s="152"/>
      <c r="F315" s="152"/>
      <c r="G315" s="152"/>
      <c r="H315" s="152"/>
      <c r="I315" s="152"/>
      <c r="J315" s="132"/>
    </row>
    <row r="316" spans="1:10" ht="14.1" customHeight="1" x14ac:dyDescent="0.25">
      <c r="A316" s="216"/>
      <c r="B316" s="74"/>
      <c r="C316" s="101" t="s">
        <v>124</v>
      </c>
      <c r="D316" s="133"/>
      <c r="E316" s="152"/>
      <c r="F316" s="152"/>
      <c r="G316" s="152"/>
      <c r="H316" s="152"/>
      <c r="I316" s="152"/>
      <c r="J316" s="132"/>
    </row>
    <row r="317" spans="1:10" ht="14.1" customHeight="1" x14ac:dyDescent="0.25">
      <c r="A317" s="216"/>
      <c r="B317" s="74"/>
      <c r="C317" s="152"/>
      <c r="D317" s="159"/>
      <c r="E317" s="152"/>
      <c r="F317" s="152"/>
      <c r="G317" s="152"/>
      <c r="H317" s="152"/>
      <c r="I317" s="152"/>
      <c r="J317" s="132"/>
    </row>
    <row r="318" spans="1:10" ht="14.1" customHeight="1" x14ac:dyDescent="0.25">
      <c r="A318" s="216"/>
      <c r="B318" s="74"/>
      <c r="C318" s="152"/>
      <c r="D318" s="152"/>
      <c r="E318" s="152"/>
      <c r="F318" s="152"/>
      <c r="G318" s="152"/>
      <c r="H318" s="152"/>
      <c r="I318" s="152"/>
      <c r="J318" s="132"/>
    </row>
    <row r="319" spans="1:10" ht="29.25" customHeight="1" x14ac:dyDescent="0.25">
      <c r="A319" s="216"/>
      <c r="B319" s="229"/>
      <c r="C319" s="232" t="s">
        <v>15</v>
      </c>
      <c r="D319" s="232"/>
      <c r="E319" s="232"/>
      <c r="F319" s="232"/>
      <c r="G319" s="232"/>
      <c r="H319" s="232"/>
      <c r="I319" s="232"/>
      <c r="J319" s="236"/>
    </row>
    <row r="320" spans="1:10" ht="78" customHeight="1" x14ac:dyDescent="0.25">
      <c r="A320" s="216"/>
      <c r="B320" s="200"/>
      <c r="C320" s="20" t="s">
        <v>115</v>
      </c>
      <c r="D320" s="22" t="s">
        <v>116</v>
      </c>
      <c r="E320" s="20" t="s">
        <v>140</v>
      </c>
      <c r="F320" s="20" t="s">
        <v>141</v>
      </c>
      <c r="G320" s="25" t="s">
        <v>142</v>
      </c>
      <c r="H320" s="20" t="s">
        <v>143</v>
      </c>
      <c r="I320" s="222"/>
      <c r="J320" s="13"/>
    </row>
    <row r="321" spans="1:10" ht="14.1" customHeight="1" x14ac:dyDescent="0.25">
      <c r="A321" s="216"/>
      <c r="B321" s="74"/>
      <c r="C321" s="263" t="s">
        <v>117</v>
      </c>
      <c r="D321" s="10">
        <v>2241</v>
      </c>
      <c r="E321" s="26">
        <f>E323+E322</f>
        <v>78.001199999999997</v>
      </c>
      <c r="F321" s="26">
        <f>F323+F322</f>
        <v>2055.27063</v>
      </c>
      <c r="G321" s="87">
        <f>D321-F321</f>
        <v>185.72937000000002</v>
      </c>
      <c r="H321" s="26">
        <f>SUM(H322:H323)</f>
        <v>1278.7322300000001</v>
      </c>
      <c r="I321" s="27"/>
      <c r="J321" s="132"/>
    </row>
    <row r="322" spans="1:10" ht="14.1" customHeight="1" x14ac:dyDescent="0.25">
      <c r="A322" s="216"/>
      <c r="B322" s="74"/>
      <c r="C322" s="29" t="s">
        <v>8</v>
      </c>
      <c r="D322" s="206"/>
      <c r="E322" s="207">
        <f>51.7895</f>
        <v>51.789499999999997</v>
      </c>
      <c r="F322" s="207">
        <f>1609.92613</f>
        <v>1609.9261300000001</v>
      </c>
      <c r="G322" s="208"/>
      <c r="H322" s="207">
        <f>1001.52965</f>
        <v>1001.5296499999999</v>
      </c>
      <c r="I322" s="152"/>
      <c r="J322" s="132"/>
    </row>
    <row r="323" spans="1:10" ht="14.1" customHeight="1" x14ac:dyDescent="0.25">
      <c r="A323" s="216"/>
      <c r="B323" s="74"/>
      <c r="C323" s="29" t="s">
        <v>11</v>
      </c>
      <c r="D323" s="209"/>
      <c r="E323" s="210">
        <f>26.2117</f>
        <v>26.2117</v>
      </c>
      <c r="F323" s="210">
        <f>445.3445</f>
        <v>445.34449999999998</v>
      </c>
      <c r="G323" s="211"/>
      <c r="H323" s="210">
        <f>277.20258</f>
        <v>277.20258000000001</v>
      </c>
      <c r="I323" s="152"/>
      <c r="J323" s="132"/>
    </row>
    <row r="324" spans="1:10" ht="14.1" customHeight="1" x14ac:dyDescent="0.25">
      <c r="A324" s="216"/>
      <c r="B324" s="74"/>
      <c r="C324" s="263" t="s">
        <v>118</v>
      </c>
      <c r="D324" s="10">
        <v>1120</v>
      </c>
      <c r="E324" s="26">
        <f>SUM(E325:E326)</f>
        <v>0</v>
      </c>
      <c r="F324" s="26">
        <f>SUM(F325:F326)</f>
        <v>0</v>
      </c>
      <c r="G324" s="87">
        <f>D324-F324</f>
        <v>1120</v>
      </c>
      <c r="H324" s="26">
        <f>SUM(H325:H326)</f>
        <v>0</v>
      </c>
      <c r="I324" s="27"/>
      <c r="J324" s="132"/>
    </row>
    <row r="325" spans="1:10" ht="14.1" customHeight="1" x14ac:dyDescent="0.25">
      <c r="A325" s="216"/>
      <c r="B325" s="74"/>
      <c r="C325" s="29" t="s">
        <v>8</v>
      </c>
      <c r="D325" s="44"/>
      <c r="E325" s="30">
        <f>0</f>
        <v>0</v>
      </c>
      <c r="F325" s="30">
        <f>0</f>
        <v>0</v>
      </c>
      <c r="G325" s="99"/>
      <c r="H325" s="30">
        <f>0</f>
        <v>0</v>
      </c>
      <c r="I325" s="152"/>
      <c r="J325" s="132"/>
    </row>
    <row r="326" spans="1:10" ht="14.1" customHeight="1" x14ac:dyDescent="0.25">
      <c r="A326" s="216"/>
      <c r="B326" s="74"/>
      <c r="C326" s="29" t="s">
        <v>11</v>
      </c>
      <c r="D326" s="219"/>
      <c r="E326" s="30">
        <f>0</f>
        <v>0</v>
      </c>
      <c r="F326" s="30">
        <f>0</f>
        <v>0</v>
      </c>
      <c r="G326" s="110"/>
      <c r="H326" s="30">
        <f>0</f>
        <v>0</v>
      </c>
      <c r="I326" s="152"/>
      <c r="J326" s="132"/>
    </row>
    <row r="327" spans="1:10" ht="14.1" customHeight="1" x14ac:dyDescent="0.25">
      <c r="A327" s="216"/>
      <c r="B327" s="74"/>
      <c r="C327" s="263" t="s">
        <v>119</v>
      </c>
      <c r="D327" s="10">
        <v>0</v>
      </c>
      <c r="E327" s="36">
        <f>SUM(E328:E329)</f>
        <v>0</v>
      </c>
      <c r="F327" s="36">
        <f>SUM(F328:F329)</f>
        <v>0</v>
      </c>
      <c r="G327" s="87">
        <f>D327-F327</f>
        <v>0</v>
      </c>
      <c r="H327" s="36">
        <f>SUM(H328:H329)</f>
        <v>0</v>
      </c>
      <c r="I327" s="152"/>
      <c r="J327" s="132"/>
    </row>
    <row r="328" spans="1:10" ht="14.1" customHeight="1" x14ac:dyDescent="0.25">
      <c r="A328" s="216"/>
      <c r="B328" s="74"/>
      <c r="C328" s="29" t="s">
        <v>8</v>
      </c>
      <c r="D328" s="44"/>
      <c r="E328" s="30">
        <f>0</f>
        <v>0</v>
      </c>
      <c r="F328" s="30">
        <f>0</f>
        <v>0</v>
      </c>
      <c r="G328" s="99"/>
      <c r="H328" s="30">
        <f>0</f>
        <v>0</v>
      </c>
      <c r="I328" s="152"/>
      <c r="J328" s="132"/>
    </row>
    <row r="329" spans="1:10" ht="14.1" customHeight="1" x14ac:dyDescent="0.25">
      <c r="A329" s="216"/>
      <c r="B329" s="74"/>
      <c r="C329" s="29" t="s">
        <v>11</v>
      </c>
      <c r="D329" s="219"/>
      <c r="E329" s="30">
        <f>0</f>
        <v>0</v>
      </c>
      <c r="F329" s="30">
        <f>0</f>
        <v>0</v>
      </c>
      <c r="G329" s="110"/>
      <c r="H329" s="30">
        <f>0</f>
        <v>0</v>
      </c>
      <c r="I329" s="152"/>
      <c r="J329" s="132"/>
    </row>
    <row r="330" spans="1:10" ht="14.1" customHeight="1" x14ac:dyDescent="0.25">
      <c r="A330" s="216"/>
      <c r="B330" s="74"/>
      <c r="C330" s="277" t="s">
        <v>98</v>
      </c>
      <c r="D330" s="37"/>
      <c r="E330" s="39"/>
      <c r="F330" s="39"/>
      <c r="G330" s="40"/>
      <c r="H330" s="39"/>
      <c r="I330" s="152"/>
      <c r="J330" s="132"/>
    </row>
    <row r="331" spans="1:10" ht="14.1" customHeight="1" x14ac:dyDescent="0.25">
      <c r="A331" s="216"/>
      <c r="B331" s="74"/>
      <c r="C331" s="283" t="s">
        <v>88</v>
      </c>
      <c r="D331" s="41">
        <f>D321+D324+D327</f>
        <v>3361</v>
      </c>
      <c r="E331" s="42">
        <f>E321+E324+E327+E330</f>
        <v>78.001199999999997</v>
      </c>
      <c r="F331" s="42">
        <f>F321+F324+F327+F330</f>
        <v>2055.27063</v>
      </c>
      <c r="G331" s="43">
        <f>SUM(G321:G330)</f>
        <v>1305.72937</v>
      </c>
      <c r="H331" s="42">
        <f>H321+H324+H327+H330</f>
        <v>1278.7322300000001</v>
      </c>
      <c r="I331" s="27"/>
      <c r="J331" s="132"/>
    </row>
    <row r="332" spans="1:10" ht="14.1" customHeight="1" x14ac:dyDescent="0.25">
      <c r="A332" s="216"/>
      <c r="B332" s="74"/>
      <c r="C332" s="152"/>
      <c r="D332" s="159"/>
      <c r="E332" s="152"/>
      <c r="F332" s="152"/>
      <c r="G332" s="152"/>
      <c r="H332" s="152"/>
      <c r="I332" s="152"/>
      <c r="J332" s="132"/>
    </row>
    <row r="333" spans="1:10" ht="14.1" customHeight="1" x14ac:dyDescent="0.25">
      <c r="A333" s="216"/>
      <c r="B333" s="8"/>
      <c r="C333" s="212"/>
      <c r="D333" s="202"/>
      <c r="E333" s="212"/>
      <c r="F333" s="212"/>
      <c r="G333" s="212"/>
      <c r="H333" s="212"/>
      <c r="I333" s="212"/>
      <c r="J333" s="12"/>
    </row>
    <row r="334" spans="1:10" ht="0" hidden="1" customHeight="1" x14ac:dyDescent="0.25"/>
    <row r="335" spans="1:10" ht="0" hidden="1" customHeight="1" x14ac:dyDescent="0.25"/>
    <row r="336" spans="1:10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16.5" customHeight="1" x14ac:dyDescent="0.25"/>
  </sheetData>
  <mergeCells count="11">
    <mergeCell ref="B2:J2"/>
    <mergeCell ref="B9:J9"/>
    <mergeCell ref="C11:D11"/>
    <mergeCell ref="E11:F11"/>
    <mergeCell ref="G11:H11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16&amp;R24.04.2023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2023-04-24T07:38:56Z</dcterms:modified>
</cp:coreProperties>
</file>