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37771C3C-76E8-45A4-ABA3-9F9A96ABA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419" i="1"/>
  <c r="F419" i="1"/>
  <c r="E419" i="1"/>
  <c r="E417" i="1" s="1"/>
  <c r="H418" i="1"/>
  <c r="H417" i="1" s="1"/>
  <c r="F418" i="1"/>
  <c r="E418" i="1"/>
  <c r="F417" i="1"/>
  <c r="H416" i="1"/>
  <c r="F416" i="1"/>
  <c r="F414" i="1" s="1"/>
  <c r="E416" i="1"/>
  <c r="H415" i="1"/>
  <c r="F415" i="1"/>
  <c r="E415" i="1"/>
  <c r="E414" i="1" s="1"/>
  <c r="H414" i="1"/>
  <c r="H413" i="1"/>
  <c r="H411" i="1" s="1"/>
  <c r="F413" i="1"/>
  <c r="F411" i="1" s="1"/>
  <c r="E413" i="1"/>
  <c r="H412" i="1"/>
  <c r="F412" i="1"/>
  <c r="E412" i="1"/>
  <c r="E411" i="1" s="1"/>
  <c r="D389" i="1"/>
  <c r="I388" i="1"/>
  <c r="G388" i="1"/>
  <c r="H388" i="1" s="1"/>
  <c r="F388" i="1"/>
  <c r="I387" i="1"/>
  <c r="G387" i="1"/>
  <c r="H387" i="1" s="1"/>
  <c r="F387" i="1"/>
  <c r="I386" i="1"/>
  <c r="G386" i="1"/>
  <c r="F386" i="1"/>
  <c r="I385" i="1"/>
  <c r="G385" i="1"/>
  <c r="F385" i="1"/>
  <c r="F384" i="1" s="1"/>
  <c r="G384" i="1"/>
  <c r="H384" i="1" s="1"/>
  <c r="I383" i="1"/>
  <c r="G383" i="1"/>
  <c r="H383" i="1" s="1"/>
  <c r="F383" i="1"/>
  <c r="I382" i="1"/>
  <c r="G382" i="1"/>
  <c r="H382" i="1" s="1"/>
  <c r="F382" i="1"/>
  <c r="I381" i="1"/>
  <c r="G381" i="1"/>
  <c r="H381" i="1" s="1"/>
  <c r="F381" i="1"/>
  <c r="F378" i="1" s="1"/>
  <c r="F389" i="1" s="1"/>
  <c r="I380" i="1"/>
  <c r="G380" i="1"/>
  <c r="H380" i="1" s="1"/>
  <c r="F380" i="1"/>
  <c r="I379" i="1"/>
  <c r="G379" i="1"/>
  <c r="H379" i="1" s="1"/>
  <c r="F379" i="1"/>
  <c r="I378" i="1"/>
  <c r="E378" i="1"/>
  <c r="E389" i="1" s="1"/>
  <c r="D378" i="1"/>
  <c r="H370" i="1"/>
  <c r="F370" i="1"/>
  <c r="D352" i="1"/>
  <c r="H351" i="1"/>
  <c r="F351" i="1"/>
  <c r="E351" i="1"/>
  <c r="H350" i="1"/>
  <c r="F350" i="1"/>
  <c r="G350" i="1" s="1"/>
  <c r="E350" i="1"/>
  <c r="H349" i="1"/>
  <c r="F349" i="1"/>
  <c r="G349" i="1" s="1"/>
  <c r="E349" i="1"/>
  <c r="H348" i="1"/>
  <c r="F348" i="1"/>
  <c r="G348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E294" i="1"/>
  <c r="H251" i="1"/>
  <c r="F251" i="1"/>
  <c r="E251" i="1"/>
  <c r="H250" i="1"/>
  <c r="F250" i="1"/>
  <c r="E250" i="1"/>
  <c r="H249" i="1"/>
  <c r="H252" i="1" s="1"/>
  <c r="F249" i="1"/>
  <c r="E249" i="1"/>
  <c r="D207" i="1"/>
  <c r="G206" i="1"/>
  <c r="H205" i="1"/>
  <c r="F205" i="1"/>
  <c r="G205" i="1" s="1"/>
  <c r="E205" i="1"/>
  <c r="H204" i="1"/>
  <c r="H207" i="1" s="1"/>
  <c r="F204" i="1"/>
  <c r="F207" i="1" s="1"/>
  <c r="G207" i="1" s="1"/>
  <c r="E204" i="1"/>
  <c r="E207" i="1" s="1"/>
  <c r="D184" i="1"/>
  <c r="H182" i="1"/>
  <c r="G182" i="1"/>
  <c r="F182" i="1"/>
  <c r="E182" i="1"/>
  <c r="H181" i="1"/>
  <c r="F181" i="1"/>
  <c r="E181" i="1"/>
  <c r="H180" i="1"/>
  <c r="H178" i="1" s="1"/>
  <c r="F180" i="1"/>
  <c r="E180" i="1"/>
  <c r="E178" i="1" s="1"/>
  <c r="H179" i="1"/>
  <c r="F179" i="1"/>
  <c r="E179" i="1"/>
  <c r="H177" i="1"/>
  <c r="F177" i="1"/>
  <c r="G177" i="1" s="1"/>
  <c r="E177" i="1"/>
  <c r="H176" i="1"/>
  <c r="F176" i="1"/>
  <c r="E176" i="1"/>
  <c r="H175" i="1"/>
  <c r="F175" i="1"/>
  <c r="E175" i="1"/>
  <c r="D150" i="1"/>
  <c r="H147" i="1"/>
  <c r="H146" i="1"/>
  <c r="H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I139" i="1" s="1"/>
  <c r="H140" i="1"/>
  <c r="H139" i="1" s="1"/>
  <c r="G140" i="1"/>
  <c r="G139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E134" i="1"/>
  <c r="E133" i="1" s="1"/>
  <c r="E150" i="1" s="1"/>
  <c r="I132" i="1"/>
  <c r="H132" i="1"/>
  <c r="F132" i="1"/>
  <c r="H131" i="1"/>
  <c r="I130" i="1"/>
  <c r="G130" i="1"/>
  <c r="H130" i="1" s="1"/>
  <c r="F130" i="1"/>
  <c r="I129" i="1"/>
  <c r="G129" i="1"/>
  <c r="F129" i="1"/>
  <c r="F128" i="1" s="1"/>
  <c r="I128" i="1"/>
  <c r="E128" i="1"/>
  <c r="C126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G97" i="1"/>
  <c r="H97" i="1" s="1"/>
  <c r="F97" i="1"/>
  <c r="I96" i="1"/>
  <c r="I95" i="1" s="1"/>
  <c r="E96" i="1"/>
  <c r="D96" i="1"/>
  <c r="D95" i="1" s="1"/>
  <c r="D107" i="1" s="1"/>
  <c r="E95" i="1"/>
  <c r="I94" i="1"/>
  <c r="G94" i="1"/>
  <c r="H94" i="1" s="1"/>
  <c r="F94" i="1"/>
  <c r="F92" i="1" s="1"/>
  <c r="I93" i="1"/>
  <c r="I92" i="1" s="1"/>
  <c r="G93" i="1"/>
  <c r="G92" i="1" s="1"/>
  <c r="F93" i="1"/>
  <c r="E92" i="1"/>
  <c r="C89" i="1"/>
  <c r="H85" i="1"/>
  <c r="F85" i="1"/>
  <c r="D85" i="1"/>
  <c r="G61" i="1"/>
  <c r="G60" i="1"/>
  <c r="H55" i="1"/>
  <c r="I32" i="1" s="1"/>
  <c r="F55" i="1"/>
  <c r="G32" i="1" s="1"/>
  <c r="H32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I35" i="1"/>
  <c r="G35" i="1"/>
  <c r="F35" i="1"/>
  <c r="I33" i="1"/>
  <c r="G33" i="1"/>
  <c r="H33" i="1" s="1"/>
  <c r="F33" i="1"/>
  <c r="I31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I23" i="1" s="1"/>
  <c r="G24" i="1"/>
  <c r="H24" i="1" s="1"/>
  <c r="F24" i="1"/>
  <c r="F23" i="1" s="1"/>
  <c r="H16" i="1"/>
  <c r="F16" i="1"/>
  <c r="D16" i="1"/>
  <c r="F421" i="1" l="1"/>
  <c r="H421" i="1"/>
  <c r="G23" i="1"/>
  <c r="F96" i="1"/>
  <c r="F95" i="1" s="1"/>
  <c r="E184" i="1"/>
  <c r="H23" i="1"/>
  <c r="F27" i="1"/>
  <c r="G128" i="1"/>
  <c r="E252" i="1"/>
  <c r="H352" i="1"/>
  <c r="G34" i="1"/>
  <c r="E107" i="1"/>
  <c r="H129" i="1"/>
  <c r="H128" i="1" s="1"/>
  <c r="G204" i="1"/>
  <c r="I34" i="1"/>
  <c r="H378" i="1"/>
  <c r="H389" i="1" s="1"/>
  <c r="E421" i="1"/>
  <c r="F34" i="1"/>
  <c r="F252" i="1"/>
  <c r="G252" i="1" s="1"/>
  <c r="F297" i="1"/>
  <c r="G297" i="1" s="1"/>
  <c r="F134" i="1"/>
  <c r="F133" i="1" s="1"/>
  <c r="E297" i="1"/>
  <c r="I150" i="1"/>
  <c r="I107" i="1"/>
  <c r="F178" i="1"/>
  <c r="G178" i="1" s="1"/>
  <c r="I384" i="1"/>
  <c r="I27" i="1"/>
  <c r="I26" i="1" s="1"/>
  <c r="I44" i="1" s="1"/>
  <c r="F26" i="1"/>
  <c r="F44" i="1" s="1"/>
  <c r="H27" i="1"/>
  <c r="H134" i="1"/>
  <c r="H133" i="1" s="1"/>
  <c r="H150" i="1" s="1"/>
  <c r="H34" i="1"/>
  <c r="H26" i="1" s="1"/>
  <c r="H44" i="1" s="1"/>
  <c r="F150" i="1"/>
  <c r="I389" i="1"/>
  <c r="H96" i="1"/>
  <c r="H95" i="1" s="1"/>
  <c r="F107" i="1"/>
  <c r="H184" i="1"/>
  <c r="G27" i="1"/>
  <c r="G26" i="1" s="1"/>
  <c r="G44" i="1" s="1"/>
  <c r="G378" i="1"/>
  <c r="G389" i="1" s="1"/>
  <c r="G134" i="1"/>
  <c r="G133" i="1" s="1"/>
  <c r="G96" i="1"/>
  <c r="G95" i="1" s="1"/>
  <c r="G107" i="1" s="1"/>
  <c r="G175" i="1"/>
  <c r="F352" i="1"/>
  <c r="G352" i="1" s="1"/>
  <c r="H35" i="1"/>
  <c r="H93" i="1"/>
  <c r="H92" i="1" s="1"/>
  <c r="H107" i="1" s="1"/>
  <c r="G55" i="1"/>
  <c r="F184" i="1" l="1"/>
  <c r="G184" i="1" s="1"/>
  <c r="G150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<sst xmlns="http://schemas.openxmlformats.org/spreadsheetml/2006/main" count="358" uniqueCount="150">
  <si>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</si>
  <si>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</si>
  <si>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</si>
  <si>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</si>
  <si>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</si>
  <si>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</si>
  <si>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</si>
  <si>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</si>
  <si>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</si>
  <si>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</si>
  <si>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</si>
  <si>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</si>
  <si>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</si>
  <si>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</si>
  <si>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</si>
  <si>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</si>
  <si>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</si>
  <si>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</si>
  <si>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</si>
  <si>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</si>
  <si>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</si>
  <si>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</si>
  <si>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</si>
  <si>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</si>
  <si>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</si>
  <si>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</si>
  <si>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</si>
  <si>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</si>
  <si>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</si>
  <si>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</si>
  <si>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</si>
  <si>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</si>
  <si>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</si>
  <si>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</si>
  <si>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</si>
  <si>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</si>
  <si>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</si>
  <si>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</si>
  <si>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</si>
  <si>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</si>
  <si>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</si>
  <si>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</si>
  <si>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</si>
  <si>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</si>
  <si>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</si>
  <si>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</si>
  <si>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</si>
  <si>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</si>
  <si>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</si>
  <si>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</si>
  <si>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</si>
  <si>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</si>
  <si>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</si>
  <si>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</si>
  <si>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</si>
  <si>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</si>
  <si>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</si>
  <si>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</si>
  <si>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</si>
  <si>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</si>
  <si>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</si>
  <si>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</si>
  <si>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</si>
  <si>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</si>
  <si>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</si>
  <si>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</si>
  <si>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</si>
  <si>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</si>
  <si>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</si>
  <si>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</si>
  <si>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</si>
  <si>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</si>
  <si>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</si>
  <si>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3</t>
    </r>
    <r>
      <rPr>
        <sz val="9"/>
        <color indexed="8"/>
        <rFont val="Calibri"/>
        <family val="2"/>
      </rPr>
      <t xml:space="preserve"> Det er fisket 2 933 tonn sei med konvensjonelle redskap som belastes notkvoten.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</si>
  <si>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</si>
  <si>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</si>
  <si>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</si>
  <si>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</si>
  <si>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</si>
  <si>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</si>
  <si>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</si>
  <si>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</si>
  <si>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</si>
  <si>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</si>
  <si>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</si>
  <si>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</si>
  <si>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</si>
  <si>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</si>
  <si>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</si>
  <si>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</si>
  <si>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</si>
  <si>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</si>
  <si>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</si>
  <si>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</si>
  <si>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</si>
  <si>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</si>
  <si>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</si>
  <si>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</si>
  <si>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</si>
  <si>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</si>
  <si>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</si>
  <si>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</si>
  <si>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</si>
  <si>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</si>
  <si>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</si>
  <si>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</si>
  <si>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</si>
  <si>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</si>
  <si>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</si>
  <si>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</si>
  <si>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</si>
  <si>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</si>
  <si>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</si>
  <si>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</si>
  <si>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</si>
  <si>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</si>
  <si>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</si>
  <si>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</si>
  <si>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</si>
  <si>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</si>
  <si>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</si>
  <si>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</si>
  <si>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</si>
  <si>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</si>
  <si>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</si>
  <si>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</si>
  <si>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</si>
  <si>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</si>
  <si>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</si>
  <si>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</si>
  <si>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</si>
  <si>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</si>
  <si>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</si>
  <si>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</si>
  <si>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</si>
  <si>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</si>
  <si>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</si>
  <si>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</si>
  <si>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</si>
  <si>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</si>
  <si>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</si>
  <si>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Grunnet endringer i reguleringen, er fangstene ikke avregnet periodekvoter. Fangsttallene gjelder for hele 2023.</t>
  </si>
  <si>
    <t>Statistikk i henhold til ny regulering kommer på et senere tidspunkt.</t>
  </si>
  <si>
    <t>FANGST UKE 39</t>
  </si>
  <si>
    <t>FANGST T.O.M UKE 39</t>
  </si>
  <si>
    <t>RESTKVOTER UKE 39</t>
  </si>
  <si>
    <t>FANGST T.O.M UKE 39 2022</t>
  </si>
  <si>
    <r>
      <t xml:space="preserve">3 </t>
    </r>
    <r>
      <rPr>
        <sz val="9"/>
        <color indexed="8"/>
        <rFont val="Calibri"/>
        <family val="2"/>
      </rPr>
      <t>Registrert rekreasjonsfiske utgjør 705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</si>
  <si>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67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</si>
  <si>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646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</si>
</sst>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140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76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136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2136.2523799999999</v>
      </c>
      <c r="G23" s="28">
        <f t="shared" si="0"/>
        <v>61718.409649999994</v>
      </c>
      <c r="H23" s="11">
        <f t="shared" si="0"/>
        <v>25108.590350000002</v>
      </c>
      <c r="I23" s="11">
        <f t="shared" si="0"/>
        <v>76739.881380000006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2136.25238</f>
        <v>2136.2523799999999</v>
      </c>
      <c r="G24" s="23">
        <f>61286.1853</f>
        <v>61286.185299999997</v>
      </c>
      <c r="H24" s="23">
        <f>E24-G24</f>
        <v>24758.814700000003</v>
      </c>
      <c r="I24" s="23">
        <f>76292.93243</f>
        <v>76292.932430000001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432.22435</f>
        <v>432.22435000000002</v>
      </c>
      <c r="H25" s="23">
        <f>E25-G25</f>
        <v>349.77564999999998</v>
      </c>
      <c r="I25" s="23">
        <f>446.94895</f>
        <v>446.94895000000002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640.52884999999992</v>
      </c>
      <c r="G26" s="11">
        <f t="shared" si="1"/>
        <v>177079.13377000001</v>
      </c>
      <c r="H26" s="11">
        <f t="shared" si="1"/>
        <v>20490.86623</v>
      </c>
      <c r="I26" s="11">
        <f t="shared" si="1"/>
        <v>213851.80874000001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582.80665999999997</v>
      </c>
      <c r="G27" s="134">
        <f t="shared" ref="G27:I27" si="2">G28+G29+G30+G31+G32</f>
        <v>139882.06344</v>
      </c>
      <c r="H27" s="134">
        <f t="shared" si="2"/>
        <v>12768.936559999998</v>
      </c>
      <c r="I27" s="134">
        <f t="shared" si="2"/>
        <v>173462.33421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84.96386</f>
        <v>84.963859999999997</v>
      </c>
      <c r="G28" s="129">
        <f>37288.72919 - F57</f>
        <v>35482.729189999998</v>
      </c>
      <c r="H28" s="129">
        <f t="shared" ref="H28:H40" si="3">E28-G28</f>
        <v>4066.2708100000018</v>
      </c>
      <c r="I28" s="129">
        <f>43344.30034 - H57</f>
        <v>41216.300340000002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190.21614</f>
        <v>190.21614</v>
      </c>
      <c r="G29" s="129">
        <f>39760.94015 - F58</f>
        <v>37326.940150000002</v>
      </c>
      <c r="H29" s="129">
        <f t="shared" si="3"/>
        <v>3437.0598499999978</v>
      </c>
      <c r="I29" s="129">
        <f>48028.2282899999 - H58</f>
        <v>46224.228289999999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101.3516</f>
        <v>101.3516</v>
      </c>
      <c r="G30" s="129">
        <f>37435.7419 - F59</f>
        <v>36288.741900000001</v>
      </c>
      <c r="H30" s="129">
        <f t="shared" si="3"/>
        <v>978.2580999999991</v>
      </c>
      <c r="I30" s="129">
        <f>47770.54126 - H59</f>
        <v>46747.541259999998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5.27506</f>
        <v>5.2750599999999999</v>
      </c>
      <c r="G31" s="129">
        <f>25170.6522 - F60</f>
        <v>24599.6522</v>
      </c>
      <c r="H31" s="129">
        <f t="shared" si="3"/>
        <v>807.34779999999955</v>
      </c>
      <c r="I31" s="129">
        <f>34205.26432 - H60</f>
        <v>33555.264320000002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201</v>
      </c>
      <c r="G32" s="129">
        <f>F55</f>
        <v>6184</v>
      </c>
      <c r="H32" s="129">
        <f t="shared" si="3"/>
        <v>3480</v>
      </c>
      <c r="I32" s="129">
        <f>H55</f>
        <v>5719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0.22774</f>
        <v>0.22774</v>
      </c>
      <c r="G33" s="134">
        <f>15914.44676</f>
        <v>15914.446760000001</v>
      </c>
      <c r="H33" s="134">
        <f t="shared" si="3"/>
        <v>7671.5532399999993</v>
      </c>
      <c r="I33" s="134">
        <f>19478.09389</f>
        <v>19478.09389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57.494450000000001</v>
      </c>
      <c r="G34" s="134">
        <f>G35+G36</f>
        <v>21282.62357</v>
      </c>
      <c r="H34" s="134">
        <f t="shared" si="3"/>
        <v>50.376430000000255</v>
      </c>
      <c r="I34" s="134">
        <f>I35+I36</f>
        <v>20911.380639999999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35.49445</f>
        <v>35.494450000000001</v>
      </c>
      <c r="G35" s="134">
        <f>25101.62357 - F61 - F62</f>
        <v>20711.62357</v>
      </c>
      <c r="H35" s="129">
        <f t="shared" si="3"/>
        <v>-578.62356999999975</v>
      </c>
      <c r="I35" s="129">
        <f>21943.38064 - H61 - H62</f>
        <v>20261.380639999999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22</v>
      </c>
      <c r="G36" s="73">
        <f>F60</f>
        <v>571</v>
      </c>
      <c r="H36" s="73">
        <f t="shared" si="3"/>
        <v>629</v>
      </c>
      <c r="I36" s="73">
        <f>H60</f>
        <v>650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4.2</f>
        <v>4.2</v>
      </c>
      <c r="G38" s="100">
        <f>505.04022</f>
        <v>505.04021999999998</v>
      </c>
      <c r="H38" s="100">
        <f t="shared" si="3"/>
        <v>345.95978000000002</v>
      </c>
      <c r="I38" s="100">
        <f>466.74763</f>
        <v>466.74763000000002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5</v>
      </c>
      <c r="G39" s="100">
        <f>F61</f>
        <v>4390</v>
      </c>
      <c r="H39" s="100">
        <f t="shared" si="3"/>
        <v>-1342</v>
      </c>
      <c r="I39" s="100">
        <f>H61</f>
        <v>1682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2.964</f>
        <v>2.964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2788.9482299999991</v>
      </c>
      <c r="G44" s="78">
        <f t="shared" si="4"/>
        <v>251518.93624000001</v>
      </c>
      <c r="H44" s="78">
        <f t="shared" si="4"/>
        <v>47177.063759999968</v>
      </c>
      <c r="I44" s="78">
        <f t="shared" si="4"/>
        <v>300195.17913</v>
      </c>
      <c r="J44" s="242"/>
    </row>
    <row r="45" spans="1:13" ht="14.1" customHeight="1" x14ac:dyDescent="0.25">
      <c r="A45" s="101"/>
      <c r="B45" s="24"/>
      <c r="C45" s="80" t="s">
        <v>128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147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127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143</v>
      </c>
      <c r="F54" s="68" t="s">
        <v>144</v>
      </c>
      <c r="G54" s="68" t="s">
        <v>145</v>
      </c>
      <c r="H54" s="68" t="s">
        <v>146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201</v>
      </c>
      <c r="F55" s="11">
        <f>F59+F58+F57+F56</f>
        <v>6184</v>
      </c>
      <c r="G55" s="299">
        <f>D55-F55</f>
        <v>3656</v>
      </c>
      <c r="H55" s="11">
        <f>H59+H58+H57+H56</f>
        <v>5719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37</v>
      </c>
      <c r="F56" s="129">
        <v>797</v>
      </c>
      <c r="G56" s="300"/>
      <c r="H56" s="129">
        <v>764</v>
      </c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109</v>
      </c>
      <c r="F57" s="129">
        <v>1806</v>
      </c>
      <c r="G57" s="300"/>
      <c r="H57" s="129">
        <v>2128</v>
      </c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44</v>
      </c>
      <c r="F58" s="129">
        <v>2434</v>
      </c>
      <c r="G58" s="300"/>
      <c r="H58" s="129">
        <v>1804</v>
      </c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11</v>
      </c>
      <c r="F59" s="194">
        <v>1147</v>
      </c>
      <c r="G59" s="301"/>
      <c r="H59" s="194">
        <v>1023</v>
      </c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22</v>
      </c>
      <c r="F60" s="97">
        <v>571</v>
      </c>
      <c r="G60" s="97">
        <f>D60-F60</f>
        <v>629</v>
      </c>
      <c r="H60" s="97">
        <v>650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5</v>
      </c>
      <c r="F61" s="141">
        <v>4390</v>
      </c>
      <c r="G61" s="141">
        <f>D61-F61</f>
        <v>-1390</v>
      </c>
      <c r="H61" s="141">
        <v>1682</v>
      </c>
      <c r="I61" s="256"/>
      <c r="J61" s="242"/>
    </row>
    <row r="62" spans="1:10" ht="14.1" customHeight="1" x14ac:dyDescent="0.25">
      <c r="A62" s="101"/>
      <c r="B62" s="24"/>
      <c r="C62" s="80" t="s">
        <v>124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76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137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143</v>
      </c>
      <c r="G91" s="15" t="s">
        <v>144</v>
      </c>
      <c r="H91" s="15" t="s">
        <v>145</v>
      </c>
      <c r="I91" s="15" t="s">
        <v>146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108.20586</v>
      </c>
      <c r="G92" s="11">
        <f t="shared" si="5"/>
        <v>39722.855669999997</v>
      </c>
      <c r="H92" s="11">
        <f t="shared" si="5"/>
        <v>-4923.8556699999963</v>
      </c>
      <c r="I92" s="11">
        <f t="shared" si="5"/>
        <v>36536.554100000001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108.20586</f>
        <v>108.20586</v>
      </c>
      <c r="G93" s="23">
        <f>39208.51828</f>
        <v>39208.518279999997</v>
      </c>
      <c r="H93" s="23">
        <f>E93-G93</f>
        <v>-5221.5182799999966</v>
      </c>
      <c r="I93" s="23">
        <f>35813.61223</f>
        <v>35813.612229999999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514.33739</f>
        <v>514.33739000000003</v>
      </c>
      <c r="H94" s="52">
        <f>E94-G94</f>
        <v>297.66260999999997</v>
      </c>
      <c r="I94" s="52">
        <f>722.94187</f>
        <v>722.94186999999999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445.52894999999995</v>
      </c>
      <c r="G95" s="11">
        <f t="shared" si="6"/>
        <v>29992.289349999999</v>
      </c>
      <c r="H95" s="11">
        <f t="shared" si="6"/>
        <v>29507.710650000001</v>
      </c>
      <c r="I95" s="11">
        <f t="shared" si="6"/>
        <v>34959.98173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400.94205999999997</v>
      </c>
      <c r="G96" s="134">
        <f t="shared" si="7"/>
        <v>21722.07302</v>
      </c>
      <c r="H96" s="134">
        <f t="shared" si="7"/>
        <v>22768.926980000004</v>
      </c>
      <c r="I96" s="134">
        <f t="shared" si="7"/>
        <v>27323.33452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188.07141</f>
        <v>188.07140999999999</v>
      </c>
      <c r="G97" s="129">
        <f>3410.45505</f>
        <v>3410.45505</v>
      </c>
      <c r="H97" s="129">
        <f t="shared" ref="H97:H104" si="8">E97-G97</f>
        <v>8473.2449500000002</v>
      </c>
      <c r="I97" s="129">
        <f>3143.96315</f>
        <v>3143.96315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109.12193</f>
        <v>109.12193000000001</v>
      </c>
      <c r="G98" s="129">
        <f>6635.90359</f>
        <v>6635.9035899999999</v>
      </c>
      <c r="H98" s="129">
        <f t="shared" si="8"/>
        <v>6029.1964100000005</v>
      </c>
      <c r="I98" s="129">
        <f>9146.12585</f>
        <v>9146.1258500000004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95.76928</f>
        <v>95.769279999999995</v>
      </c>
      <c r="G99" s="129">
        <f>6535.38243</f>
        <v>6535.3824299999997</v>
      </c>
      <c r="H99" s="129">
        <f t="shared" si="8"/>
        <v>5430.2175700000007</v>
      </c>
      <c r="I99" s="129">
        <f>7616.93102</f>
        <v>7616.93102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7.97944</f>
        <v>7.9794400000000003</v>
      </c>
      <c r="G100" s="129">
        <f>5140.33195</f>
        <v>5140.3319499999998</v>
      </c>
      <c r="H100" s="129">
        <f t="shared" si="8"/>
        <v>2836.2680500000006</v>
      </c>
      <c r="I100" s="129">
        <f>7416.3145</f>
        <v>7416.3145000000004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0.2052</f>
        <v>0.20519999999999999</v>
      </c>
      <c r="G101" s="134">
        <f>6629.08666</f>
        <v>6629.0866599999999</v>
      </c>
      <c r="H101" s="134">
        <f t="shared" si="8"/>
        <v>3761.9133400000001</v>
      </c>
      <c r="I101" s="134">
        <f>6181.74218</f>
        <v>6181.7421800000002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44.38169</f>
        <v>44.381689999999999</v>
      </c>
      <c r="G102" s="77">
        <f>1641.12967</f>
        <v>1641.12967</v>
      </c>
      <c r="H102" s="77">
        <f t="shared" si="8"/>
        <v>2976.8703299999997</v>
      </c>
      <c r="I102" s="77">
        <f>1454.90503</f>
        <v>1454.9050299999999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11.34443</f>
        <v>11.344429999999999</v>
      </c>
      <c r="H103" s="100">
        <f t="shared" si="8"/>
        <v>308.65557000000001</v>
      </c>
      <c r="I103" s="100">
        <f>22.00499</f>
        <v>22.004989999999999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0.54552</f>
        <v>0.54552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554.28032999999994</v>
      </c>
      <c r="G107" s="78">
        <f t="shared" si="9"/>
        <v>70035.257249999981</v>
      </c>
      <c r="H107" s="78">
        <f t="shared" si="9"/>
        <v>24933.742750000016</v>
      </c>
      <c r="I107" s="78">
        <f t="shared" si="9"/>
        <v>71862.275600000008</v>
      </c>
      <c r="J107" s="242"/>
    </row>
    <row r="108" spans="1:10" ht="13.5" customHeight="1" x14ac:dyDescent="0.25">
      <c r="A108" s="1"/>
      <c r="B108" s="252"/>
      <c r="C108" s="80" t="s">
        <v>126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148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125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129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143</v>
      </c>
      <c r="G127" s="15" t="s">
        <v>144</v>
      </c>
      <c r="H127" s="15" t="s">
        <v>145</v>
      </c>
      <c r="I127" s="15" t="s">
        <v>146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1012.58215</v>
      </c>
      <c r="G128" s="11">
        <f t="shared" si="11"/>
        <v>52608.560060000003</v>
      </c>
      <c r="H128" s="11">
        <f t="shared" si="11"/>
        <v>18098.43994</v>
      </c>
      <c r="I128" s="11">
        <f t="shared" si="11"/>
        <v>50278.308969999998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1012.58215</f>
        <v>1012.58215</v>
      </c>
      <c r="G129" s="23">
        <f>46214.54941</f>
        <v>46214.54941</v>
      </c>
      <c r="H129" s="23">
        <f>E129-G129</f>
        <v>10010.45059</v>
      </c>
      <c r="I129" s="23">
        <f>42503.4745</f>
        <v>42503.474499999997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6394.01065</f>
        <v>6394.0106500000002</v>
      </c>
      <c r="H130" s="23">
        <f>E130-G130</f>
        <v>7587.9893499999998</v>
      </c>
      <c r="I130" s="23">
        <f>7774.83447</f>
        <v>7774.8344699999998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202.415</f>
        <v>202.41499999999999</v>
      </c>
      <c r="G132" s="97">
        <f>38606.05318+6780.08371</f>
        <v>45386.136890000002</v>
      </c>
      <c r="H132" s="97">
        <f>E132-G132</f>
        <v>3898.8631099999984</v>
      </c>
      <c r="I132" s="97">
        <f>39951.57048</f>
        <v>39951.570480000002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1080.7527500000001</v>
      </c>
      <c r="G133" s="96">
        <f t="shared" ref="G133" si="12">G134+G139+G142</f>
        <v>59488.533519999997</v>
      </c>
      <c r="H133" s="96">
        <f>H134+H139+H142</f>
        <v>21623.466479999999</v>
      </c>
      <c r="I133" s="96">
        <f>I134+I139+I142</f>
        <v>61240.689839999999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850.1615700000001</v>
      </c>
      <c r="G134" s="127">
        <f>G135+G136+G138+G137</f>
        <v>45734.19023</v>
      </c>
      <c r="H134" s="127">
        <f>H135+H136+H137+H138</f>
        <v>13898.80977</v>
      </c>
      <c r="I134" s="127">
        <f>I135+I136+I137+I138</f>
        <v>48181.877999999997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248.03087</f>
        <v>248.03086999999999</v>
      </c>
      <c r="G135" s="129">
        <v>8427.0756600000004</v>
      </c>
      <c r="H135" s="129">
        <f>E135-G135</f>
        <v>9110.9243399999996</v>
      </c>
      <c r="I135" s="129">
        <f>8002.74067</f>
        <v>8002.7406700000001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339.92561</f>
        <v>339.92561000000001</v>
      </c>
      <c r="G136" s="129">
        <v>13704.58898</v>
      </c>
      <c r="H136" s="129">
        <f>E136-G136</f>
        <v>1413.4110199999996</v>
      </c>
      <c r="I136" s="129">
        <f>10893.87886</f>
        <v>10893.878860000001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183.70279</f>
        <v>183.70278999999999</v>
      </c>
      <c r="G137" s="129">
        <v>13239.5291</v>
      </c>
      <c r="H137" s="129">
        <f>E137-G137</f>
        <v>1816.4709000000003</v>
      </c>
      <c r="I137" s="129">
        <f>15497.62483</f>
        <v>15497.624830000001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78.5023</f>
        <v>78.502300000000005</v>
      </c>
      <c r="G138" s="129">
        <v>10362.99649</v>
      </c>
      <c r="H138" s="129">
        <f>E138-G138</f>
        <v>1558.0035100000005</v>
      </c>
      <c r="I138" s="129">
        <f>13787.63364</f>
        <v>13787.63364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2.3940000000000001</v>
      </c>
      <c r="G139" s="134">
        <f>SUM(G140:G141)</f>
        <v>7053.8835100000006</v>
      </c>
      <c r="H139" s="134">
        <f>H140+H141</f>
        <v>2397.1164899999999</v>
      </c>
      <c r="I139" s="134">
        <f>SUM(I140:I141)</f>
        <v>6333.8107599999994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0</f>
        <v>0</v>
      </c>
      <c r="G140" s="129">
        <f>6799.5833</f>
        <v>6799.5833000000002</v>
      </c>
      <c r="H140" s="129">
        <f t="shared" ref="H140:H147" si="13">E140-G140</f>
        <v>2151.4166999999998</v>
      </c>
      <c r="I140" s="129">
        <f>6068.16753</f>
        <v>6068.1675299999997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2.394</f>
        <v>2.3940000000000001</v>
      </c>
      <c r="G141" s="129">
        <f>254.30021</f>
        <v>254.30020999999999</v>
      </c>
      <c r="H141" s="129">
        <f t="shared" si="13"/>
        <v>245.69979000000001</v>
      </c>
      <c r="I141" s="129">
        <f>265.64323</f>
        <v>265.64323000000002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228.19718</f>
        <v>228.19718</v>
      </c>
      <c r="G142" s="77">
        <f>6700.45978</f>
        <v>6700.4597800000001</v>
      </c>
      <c r="H142" s="77">
        <f t="shared" si="13"/>
        <v>5327.5402199999999</v>
      </c>
      <c r="I142" s="77">
        <f>6725.00108</f>
        <v>6725.00108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31.4675</f>
        <v>31.467500000000001</v>
      </c>
      <c r="H143" s="141">
        <f t="shared" si="13"/>
        <v>105.5325</v>
      </c>
      <c r="I143" s="141">
        <f>24.47327</f>
        <v>24.473269999999999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5.2566</f>
        <v>5.2565999999999997</v>
      </c>
      <c r="G145" s="141">
        <v>2000</v>
      </c>
      <c r="H145" s="141">
        <f t="shared" si="13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3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2301.0065</v>
      </c>
      <c r="G150" s="78">
        <f>G128+G132+G133+G143+G144+G145+G146+G147+G148</f>
        <v>159777.27897000001</v>
      </c>
      <c r="H150" s="78">
        <f>H128+H132+H133+H143+H144+H145+H146+H147+H148</f>
        <v>43908.721030000001</v>
      </c>
      <c r="I150" s="78">
        <f>I128+I132+I133+I143+I144+I145+I146+I147+I148</f>
        <v>153802.01856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130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73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149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74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131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75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76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143</v>
      </c>
      <c r="F174" s="15" t="s">
        <v>144</v>
      </c>
      <c r="G174" s="56" t="s">
        <v>145</v>
      </c>
      <c r="H174" s="15" t="s">
        <v>146</v>
      </c>
      <c r="I174" s="159"/>
      <c r="J174" s="278"/>
    </row>
    <row r="175" spans="1:10" ht="14.1" customHeight="1" x14ac:dyDescent="0.25">
      <c r="A175" s="1"/>
      <c r="B175" s="252"/>
      <c r="C175" s="143" t="s">
        <v>77</v>
      </c>
      <c r="D175" s="96">
        <v>4988</v>
      </c>
      <c r="E175" s="274">
        <f>40.33917</f>
        <v>40.339170000000003</v>
      </c>
      <c r="F175" s="274">
        <f>1488.86858</f>
        <v>1488.8685800000001</v>
      </c>
      <c r="G175" s="45">
        <f>D175-F175-F176</f>
        <v>1821.7593299999996</v>
      </c>
      <c r="H175" s="274">
        <f>1288.00248</f>
        <v>1288.0024800000001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0</f>
        <v>0</v>
      </c>
      <c r="F176" s="154">
        <f>1677.37209</f>
        <v>1677.3720900000001</v>
      </c>
      <c r="G176" s="215"/>
      <c r="H176" s="154">
        <f>1553.98093</f>
        <v>1553.9809299999999</v>
      </c>
      <c r="I176" s="1"/>
      <c r="J176" s="122"/>
    </row>
    <row r="177" spans="1:10" ht="15.6" customHeight="1" x14ac:dyDescent="0.25">
      <c r="A177" s="1"/>
      <c r="B177" s="252"/>
      <c r="C177" s="171" t="s">
        <v>78</v>
      </c>
      <c r="D177" s="100">
        <v>200</v>
      </c>
      <c r="E177" s="174">
        <f>0.00336</f>
        <v>3.3600000000000001E-3</v>
      </c>
      <c r="F177" s="174">
        <f>74.6833</f>
        <v>74.683300000000003</v>
      </c>
      <c r="G177" s="174">
        <f>D177-F177</f>
        <v>125.3167</v>
      </c>
      <c r="H177" s="174">
        <f>50.5601</f>
        <v>50.560099999999998</v>
      </c>
      <c r="I177" s="1"/>
      <c r="J177" s="122"/>
    </row>
    <row r="178" spans="1:10" ht="14.1" customHeight="1" x14ac:dyDescent="0.25">
      <c r="A178" s="70"/>
      <c r="B178" s="81"/>
      <c r="C178" s="182" t="s">
        <v>79</v>
      </c>
      <c r="D178" s="183">
        <v>7481</v>
      </c>
      <c r="E178" s="183">
        <f>E179+E180+E181</f>
        <v>29.447030000000002</v>
      </c>
      <c r="F178" s="183">
        <f>F179+F180+F181</f>
        <v>8034.5681100000002</v>
      </c>
      <c r="G178" s="183">
        <f>D178-F178</f>
        <v>-553.56811000000016</v>
      </c>
      <c r="H178" s="183">
        <f>H179+H180+H181</f>
        <v>7667.1921900000007</v>
      </c>
      <c r="I178" s="70"/>
      <c r="J178" s="118"/>
    </row>
    <row r="179" spans="1:10" ht="14.1" customHeight="1" x14ac:dyDescent="0.25">
      <c r="A179" s="199"/>
      <c r="B179" s="184"/>
      <c r="C179" s="185" t="s">
        <v>80</v>
      </c>
      <c r="D179" s="129"/>
      <c r="E179" s="129">
        <f>5.2036</f>
        <v>5.2035999999999998</v>
      </c>
      <c r="F179" s="129">
        <f>4162.77279</f>
        <v>4162.77279</v>
      </c>
      <c r="G179" s="129"/>
      <c r="H179" s="129">
        <f>3964.26436</f>
        <v>3964.2643600000001</v>
      </c>
      <c r="I179" s="188"/>
      <c r="J179" s="131"/>
    </row>
    <row r="180" spans="1:10" ht="14.1" customHeight="1" x14ac:dyDescent="0.25">
      <c r="A180" s="199"/>
      <c r="B180" s="184"/>
      <c r="C180" s="185" t="s">
        <v>81</v>
      </c>
      <c r="D180" s="129"/>
      <c r="E180" s="129">
        <f>12.62679</f>
        <v>12.62679</v>
      </c>
      <c r="F180" s="129">
        <f>2467.39367</f>
        <v>2467.3936699999999</v>
      </c>
      <c r="G180" s="129"/>
      <c r="H180" s="129">
        <f>2380.78552</f>
        <v>2380.7855199999999</v>
      </c>
      <c r="I180" s="188"/>
      <c r="J180" s="189"/>
    </row>
    <row r="181" spans="1:10" ht="14.1" customHeight="1" x14ac:dyDescent="0.25">
      <c r="A181" s="199"/>
      <c r="B181" s="184"/>
      <c r="C181" s="191" t="s">
        <v>82</v>
      </c>
      <c r="D181" s="194"/>
      <c r="E181" s="194">
        <f>11.61664</f>
        <v>11.61664</v>
      </c>
      <c r="F181" s="194">
        <f>1404.40165</f>
        <v>1404.40165</v>
      </c>
      <c r="G181" s="194"/>
      <c r="H181" s="194">
        <f>1322.14231</f>
        <v>1322.14231</v>
      </c>
      <c r="I181" s="188"/>
      <c r="J181" s="189"/>
    </row>
    <row r="182" spans="1:10" ht="14.1" customHeight="1" x14ac:dyDescent="0.25">
      <c r="A182" s="1"/>
      <c r="B182" s="252"/>
      <c r="C182" s="75" t="s">
        <v>83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84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69.789560000000009</v>
      </c>
      <c r="F184" s="196">
        <f>F175+F176+F177+F178+F182+F183</f>
        <v>11275.49208</v>
      </c>
      <c r="G184" s="196">
        <f>D184-F184</f>
        <v>1459.50792</v>
      </c>
      <c r="H184" s="196">
        <f>H175+H176+H177+H178+H182+H183</f>
        <v>10559.735700000001</v>
      </c>
      <c r="I184" s="165"/>
      <c r="J184" s="162"/>
    </row>
    <row r="185" spans="1:10" ht="42" customHeight="1" x14ac:dyDescent="0.25">
      <c r="A185" s="1"/>
      <c r="B185" s="200"/>
      <c r="C185" s="225" t="s">
        <v>132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85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86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87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88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133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134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135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143</v>
      </c>
      <c r="F203" s="68" t="s">
        <v>144</v>
      </c>
      <c r="G203" s="68" t="s">
        <v>145</v>
      </c>
      <c r="H203" s="68" t="s">
        <v>146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97.22589</f>
        <v>97.225890000000007</v>
      </c>
      <c r="F204" s="124">
        <f>40685.95977</f>
        <v>40685.959770000001</v>
      </c>
      <c r="G204" s="124">
        <f>D204-F204</f>
        <v>3153.0402299999987</v>
      </c>
      <c r="H204" s="124">
        <f>35829.99674</f>
        <v>35829.996740000002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1.29648</f>
        <v>1.2964800000000001</v>
      </c>
      <c r="F205" s="124">
        <f>64.91687</f>
        <v>64.916870000000003</v>
      </c>
      <c r="G205" s="124">
        <f>D205-F205</f>
        <v>35.083129999999997</v>
      </c>
      <c r="H205" s="124">
        <f>58.17981</f>
        <v>58.179810000000003</v>
      </c>
      <c r="I205" s="246"/>
      <c r="J205" s="122"/>
    </row>
    <row r="206" spans="1:10" ht="15.75" customHeight="1" x14ac:dyDescent="0.25">
      <c r="A206" s="1"/>
      <c r="B206" s="252"/>
      <c r="C206" s="146" t="s">
        <v>83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89</v>
      </c>
      <c r="D207" s="190">
        <f>SUM(D204:D206)</f>
        <v>43981</v>
      </c>
      <c r="E207" s="190">
        <f>SUM(E204:E206)</f>
        <v>98.522370000000009</v>
      </c>
      <c r="F207" s="190">
        <f>SUM(F204:F206)</f>
        <v>40750.876640000002</v>
      </c>
      <c r="G207" s="190">
        <f>D207-F207</f>
        <v>3230.1233599999978</v>
      </c>
      <c r="H207" s="190">
        <f>SUM(H204:H206)</f>
        <v>35888.176550000004</v>
      </c>
      <c r="I207" s="246"/>
      <c r="J207" s="122"/>
    </row>
    <row r="208" spans="1:10" ht="17.100000000000001" customHeight="1" x14ac:dyDescent="0.25">
      <c r="A208" s="1"/>
      <c r="B208" s="166"/>
      <c r="C208" s="201" t="s">
        <v>90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138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120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143</v>
      </c>
      <c r="F248" s="68" t="s">
        <v>144</v>
      </c>
      <c r="G248" s="68" t="s">
        <v>145</v>
      </c>
      <c r="H248" s="68" t="s">
        <v>146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1.3812</f>
        <v>1.3812</v>
      </c>
      <c r="F249" s="77">
        <f>3580.87094</f>
        <v>3580.8709399999998</v>
      </c>
      <c r="G249" s="77"/>
      <c r="H249" s="77">
        <f>2587.06696</f>
        <v>2587.0669600000001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53.348</f>
        <v>53.347999999999999</v>
      </c>
      <c r="F250" s="77">
        <f>5068.29125</f>
        <v>5068.2912500000002</v>
      </c>
      <c r="G250" s="77"/>
      <c r="H250" s="77">
        <f>4652.50359</f>
        <v>4652.5035900000003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4.35278</f>
        <v>4.3527800000000001</v>
      </c>
      <c r="F251" s="124">
        <f>589.46902</f>
        <v>589.46902</v>
      </c>
      <c r="G251" s="168"/>
      <c r="H251" s="124">
        <f>571.30692</f>
        <v>571.30691999999999</v>
      </c>
      <c r="I251" s="246"/>
      <c r="J251" s="122"/>
    </row>
    <row r="252" spans="1:10" ht="16.5" customHeight="1" x14ac:dyDescent="0.25">
      <c r="A252" s="1"/>
      <c r="B252" s="252"/>
      <c r="C252" s="179" t="s">
        <v>89</v>
      </c>
      <c r="D252" s="190">
        <v>10454</v>
      </c>
      <c r="E252" s="190">
        <f>SUM(E249:E251)</f>
        <v>59.081980000000001</v>
      </c>
      <c r="F252" s="190">
        <f>SUM(F249:F251)</f>
        <v>9238.6312099999996</v>
      </c>
      <c r="G252" s="190">
        <f>D252-F252</f>
        <v>1215.3687900000004</v>
      </c>
      <c r="H252" s="190">
        <f>SUM(H249:H251)</f>
        <v>7810.8774700000004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139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120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0.486</f>
        <v>0.48599999999999999</v>
      </c>
      <c r="F294" s="77">
        <f>5443.99401</f>
        <v>5443.9940100000003</v>
      </c>
      <c r="G294" s="77"/>
      <c r="H294" s="77">
        <f>3690.89583</f>
        <v>3690.8958299999999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70.88022</f>
        <v>70.880219999999994</v>
      </c>
      <c r="F295" s="77">
        <f>3230.7202</f>
        <v>3230.7202000000002</v>
      </c>
      <c r="G295" s="77"/>
      <c r="H295" s="77">
        <f>2855.62078</f>
        <v>2855.6207800000002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1.61414</f>
        <v>1.6141399999999999</v>
      </c>
      <c r="F296" s="124">
        <f>488.88767</f>
        <v>488.88767000000001</v>
      </c>
      <c r="G296" s="168"/>
      <c r="H296" s="124">
        <f>522.75206</f>
        <v>522.75206000000003</v>
      </c>
      <c r="I296" s="246"/>
      <c r="J296" s="122"/>
    </row>
    <row r="297" spans="1:10" ht="16.5" customHeight="1" x14ac:dyDescent="0.25">
      <c r="A297" s="1"/>
      <c r="B297" s="252"/>
      <c r="C297" s="179" t="s">
        <v>89</v>
      </c>
      <c r="D297" s="190">
        <v>8076</v>
      </c>
      <c r="E297" s="190">
        <f>SUM(E294:E296)</f>
        <v>72.980360000000005</v>
      </c>
      <c r="F297" s="190">
        <f>SUM(F294:F296)</f>
        <v>9163.6018800000002</v>
      </c>
      <c r="G297" s="190">
        <f>D297-F297</f>
        <v>-1087.6018800000002</v>
      </c>
      <c r="H297" s="190">
        <f>SUM(H294:H296)</f>
        <v>7069.2686700000004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91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120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86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92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93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76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94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95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96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143</v>
      </c>
      <c r="F347" s="68" t="s">
        <v>144</v>
      </c>
      <c r="G347" s="68" t="s">
        <v>145</v>
      </c>
      <c r="H347" s="68" t="s">
        <v>146</v>
      </c>
      <c r="I347" s="1"/>
      <c r="J347" s="118"/>
    </row>
    <row r="348" spans="1:10" ht="14.1" customHeight="1" x14ac:dyDescent="0.25">
      <c r="A348" s="70"/>
      <c r="B348" s="81"/>
      <c r="C348" s="90" t="s">
        <v>97</v>
      </c>
      <c r="D348" s="124">
        <v>800</v>
      </c>
      <c r="E348" s="124">
        <f>1.52968</f>
        <v>1.5296799999999999</v>
      </c>
      <c r="F348" s="124">
        <f>521.23732</f>
        <v>521.23731999999995</v>
      </c>
      <c r="G348" s="124">
        <f>D348-F348</f>
        <v>278.76268000000005</v>
      </c>
      <c r="H348" s="124">
        <f>320.06494</f>
        <v>320.06493999999998</v>
      </c>
      <c r="I348" s="70"/>
      <c r="J348" s="242"/>
    </row>
    <row r="349" spans="1:10" ht="14.1" customHeight="1" x14ac:dyDescent="0.25">
      <c r="A349" s="1"/>
      <c r="B349" s="252"/>
      <c r="C349" s="90" t="s">
        <v>98</v>
      </c>
      <c r="D349" s="244">
        <v>2494</v>
      </c>
      <c r="E349" s="124">
        <f>3.41513</f>
        <v>3.41513</v>
      </c>
      <c r="F349" s="124">
        <f>2522.90516</f>
        <v>2522.9051599999998</v>
      </c>
      <c r="G349" s="124">
        <f>D349-F349</f>
        <v>-28.905159999999796</v>
      </c>
      <c r="H349" s="124">
        <f>1578.88646</f>
        <v>1578.8864599999999</v>
      </c>
      <c r="I349" s="181"/>
      <c r="J349" s="118"/>
    </row>
    <row r="350" spans="1:10" ht="16.5" customHeight="1" x14ac:dyDescent="0.25">
      <c r="A350" s="70"/>
      <c r="B350" s="81"/>
      <c r="C350" s="146" t="s">
        <v>83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0.9582</f>
        <v>0.95820000000000005</v>
      </c>
      <c r="I350" s="70"/>
      <c r="J350" s="247"/>
    </row>
    <row r="351" spans="1:10" ht="18.75" customHeight="1" x14ac:dyDescent="0.25">
      <c r="A351" s="70"/>
      <c r="B351" s="248"/>
      <c r="C351" s="146" t="s">
        <v>99</v>
      </c>
      <c r="D351" s="220"/>
      <c r="E351" s="168">
        <f>0</f>
        <v>0</v>
      </c>
      <c r="F351" s="168">
        <f>1.7076</f>
        <v>1.7076</v>
      </c>
      <c r="G351" s="124"/>
      <c r="H351" s="168">
        <f>6.84606</f>
        <v>6.8460599999999996</v>
      </c>
      <c r="I351" s="282"/>
      <c r="J351" s="122"/>
    </row>
    <row r="352" spans="1:10" ht="14.1" customHeight="1" x14ac:dyDescent="0.25">
      <c r="A352" s="1"/>
      <c r="B352" s="252"/>
      <c r="C352" s="179" t="s">
        <v>89</v>
      </c>
      <c r="D352" s="6">
        <f>D337</f>
        <v>3299</v>
      </c>
      <c r="E352" s="190">
        <f>SUM(E348:E351)</f>
        <v>4.9448100000000004</v>
      </c>
      <c r="F352" s="190">
        <f>SUM(F348:F351)</f>
        <v>3048.5888199999995</v>
      </c>
      <c r="G352" s="190">
        <f>D352-F352</f>
        <v>250.41118000000051</v>
      </c>
      <c r="H352" s="190">
        <f>H348+H349+H350+H351</f>
        <v>1906.75566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2" t="s">
        <v>120</v>
      </c>
    </row>
    <row r="359" spans="1:10" ht="36" customHeight="1" x14ac:dyDescent="0.25">
      <c r="A359" s="1"/>
      <c r="C359" s="152" t="s">
        <v>120</v>
      </c>
    </row>
    <row r="360" spans="1:10" ht="14.1" customHeight="1" x14ac:dyDescent="0.25">
      <c r="A360" s="1"/>
      <c r="C360" s="152" t="s">
        <v>120</v>
      </c>
    </row>
    <row r="361" spans="1:10" ht="14.1" customHeight="1" x14ac:dyDescent="0.25">
      <c r="A361" s="1"/>
      <c r="C361" s="152" t="s">
        <v>120</v>
      </c>
    </row>
    <row r="362" spans="1:10" ht="30" customHeight="1" x14ac:dyDescent="0.35">
      <c r="A362" s="216"/>
      <c r="B362" s="1"/>
      <c r="C362" s="213" t="s">
        <v>100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101</v>
      </c>
      <c r="F365" s="187"/>
      <c r="G365" s="151" t="s">
        <v>102</v>
      </c>
      <c r="H365" s="187"/>
      <c r="I365" s="152"/>
      <c r="J365" s="132"/>
    </row>
    <row r="366" spans="1:10" ht="14.25" customHeight="1" x14ac:dyDescent="0.25">
      <c r="B366" s="74"/>
      <c r="C366" s="257" t="s">
        <v>86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93</v>
      </c>
      <c r="D367" s="46">
        <v>19433</v>
      </c>
      <c r="E367" s="181" t="s">
        <v>98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92</v>
      </c>
      <c r="D368" s="46">
        <v>6186</v>
      </c>
      <c r="E368" s="181" t="s">
        <v>60</v>
      </c>
      <c r="F368" s="49">
        <v>5500</v>
      </c>
      <c r="G368" s="246" t="s">
        <v>103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104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105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121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106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107</v>
      </c>
      <c r="F377" s="221" t="s">
        <v>143</v>
      </c>
      <c r="G377" s="221" t="s">
        <v>144</v>
      </c>
      <c r="H377" s="221" t="s">
        <v>145</v>
      </c>
      <c r="I377" s="221" t="s">
        <v>146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5">D382+D381+D380+D379</f>
        <v>13765</v>
      </c>
      <c r="E378" s="249">
        <f t="shared" si="15"/>
        <v>16102</v>
      </c>
      <c r="F378" s="251">
        <f t="shared" si="15"/>
        <v>40.57197</v>
      </c>
      <c r="G378" s="251">
        <f t="shared" si="15"/>
        <v>15064.316279999999</v>
      </c>
      <c r="H378" s="251">
        <f>H382+H381+H380+H379</f>
        <v>1037.68372</v>
      </c>
      <c r="I378" s="251">
        <f t="shared" si="15"/>
        <v>7827.9218099999998</v>
      </c>
      <c r="J378" s="132"/>
    </row>
    <row r="379" spans="1:10" ht="14.1" customHeight="1" x14ac:dyDescent="0.25">
      <c r="A379" s="216"/>
      <c r="B379" s="74"/>
      <c r="C379" s="253" t="s">
        <v>108</v>
      </c>
      <c r="D379" s="254">
        <v>6472</v>
      </c>
      <c r="E379" s="254">
        <v>8177</v>
      </c>
      <c r="F379" s="255">
        <f>0</f>
        <v>0</v>
      </c>
      <c r="G379" s="255">
        <f>8957.87752</f>
        <v>8957.87752</v>
      </c>
      <c r="H379" s="255">
        <f t="shared" ref="H379:H383" si="16">E379-G379</f>
        <v>-780.87752</v>
      </c>
      <c r="I379" s="255">
        <f>4997.81979</f>
        <v>4997.8197899999996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1464.0345</f>
        <v>1464.0345</v>
      </c>
      <c r="H380" s="255">
        <f t="shared" si="16"/>
        <v>663.96550000000002</v>
      </c>
      <c r="I380" s="255">
        <f>564.91155</f>
        <v>564.91155000000003</v>
      </c>
      <c r="J380" s="132"/>
    </row>
    <row r="381" spans="1:10" ht="14.1" customHeight="1" x14ac:dyDescent="0.25">
      <c r="A381" s="216"/>
      <c r="B381" s="74"/>
      <c r="C381" s="258" t="s">
        <v>104</v>
      </c>
      <c r="D381" s="254">
        <v>1313</v>
      </c>
      <c r="E381" s="254">
        <v>1357</v>
      </c>
      <c r="F381" s="255">
        <f>4.38437</f>
        <v>4.3843699999999997</v>
      </c>
      <c r="G381" s="255">
        <f>1777.34736</f>
        <v>1777.34736</v>
      </c>
      <c r="H381" s="255">
        <f t="shared" si="16"/>
        <v>-420.34735999999998</v>
      </c>
      <c r="I381" s="255">
        <f>1458.86347</f>
        <v>1458.86347</v>
      </c>
      <c r="J381" s="132"/>
    </row>
    <row r="382" spans="1:10" ht="14.1" customHeight="1" x14ac:dyDescent="0.25">
      <c r="A382" s="216"/>
      <c r="B382" s="74"/>
      <c r="C382" s="260" t="s">
        <v>109</v>
      </c>
      <c r="D382" s="261">
        <v>4296</v>
      </c>
      <c r="E382" s="261">
        <v>4440</v>
      </c>
      <c r="F382" s="255">
        <f>36.1876</f>
        <v>36.187600000000003</v>
      </c>
      <c r="G382" s="255">
        <f>2865.0569</f>
        <v>2865.0569</v>
      </c>
      <c r="H382" s="255">
        <f t="shared" si="16"/>
        <v>1574.9431</v>
      </c>
      <c r="I382" s="255">
        <f>806.327</f>
        <v>806.327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0.048</f>
        <v>4.8000000000000001E-2</v>
      </c>
      <c r="G383" s="266">
        <f>5108.20328</f>
        <v>5108.2032799999997</v>
      </c>
      <c r="H383" s="266">
        <f t="shared" si="16"/>
        <v>391.79672000000028</v>
      </c>
      <c r="I383" s="266">
        <f>4548.20368</f>
        <v>4548.2036799999996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18.00329</v>
      </c>
      <c r="G384" s="267">
        <f>G386+G385</f>
        <v>3739.2978600000001</v>
      </c>
      <c r="H384" s="267">
        <f>E384-G384</f>
        <v>4260.7021399999994</v>
      </c>
      <c r="I384" s="267">
        <f>I386+I385</f>
        <v>3916.1908600000002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0</f>
        <v>0</v>
      </c>
      <c r="G385" s="255">
        <f>863.1017</f>
        <v>863.10170000000005</v>
      </c>
      <c r="H385" s="255"/>
      <c r="I385" s="255">
        <f>1144.54655</f>
        <v>1144.54655</v>
      </c>
      <c r="J385" s="132"/>
    </row>
    <row r="386" spans="1:10" ht="14.1" customHeight="1" x14ac:dyDescent="0.25">
      <c r="A386" s="216"/>
      <c r="B386" s="74"/>
      <c r="C386" s="271" t="s">
        <v>110</v>
      </c>
      <c r="D386" s="272"/>
      <c r="E386" s="275"/>
      <c r="F386" s="276">
        <f>18.00329</f>
        <v>18.00329</v>
      </c>
      <c r="G386" s="276">
        <f>2876.19616</f>
        <v>2876.19616</v>
      </c>
      <c r="H386" s="276"/>
      <c r="I386" s="276">
        <f>2771.64431</f>
        <v>2771.6443100000001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0.39555</f>
        <v>0.39555000000000001</v>
      </c>
      <c r="J387" s="132"/>
    </row>
    <row r="388" spans="1:10" ht="14.1" customHeight="1" x14ac:dyDescent="0.25">
      <c r="A388" s="216"/>
      <c r="B388" s="74"/>
      <c r="C388" s="277" t="s">
        <v>111</v>
      </c>
      <c r="D388" s="280"/>
      <c r="E388" s="281"/>
      <c r="F388" s="266">
        <f>0.5412</f>
        <v>0.54120000000000001</v>
      </c>
      <c r="G388" s="266">
        <f>116.53334</f>
        <v>116.53334</v>
      </c>
      <c r="H388" s="266">
        <f>E388-G388</f>
        <v>-116.53334</v>
      </c>
      <c r="I388" s="266">
        <f>233.04824</f>
        <v>233.04823999999999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7">F378+F383+F384+F387+F388</f>
        <v>59.164460000000005</v>
      </c>
      <c r="G389" s="285">
        <f t="shared" si="17"/>
        <v>24028.42426</v>
      </c>
      <c r="H389" s="285">
        <f>H378+H383+H384+H387+H388</f>
        <v>5583.5757399999993</v>
      </c>
      <c r="I389" s="285">
        <f t="shared" si="17"/>
        <v>16525.760139999999</v>
      </c>
      <c r="J389" s="132"/>
    </row>
    <row r="390" spans="1:10" ht="14.1" customHeight="1" x14ac:dyDescent="0.25">
      <c r="A390" s="216"/>
      <c r="B390" s="74"/>
      <c r="C390" s="163" t="s">
        <v>112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122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123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120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120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120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113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114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6</v>
      </c>
      <c r="D401" s="268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93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76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115</v>
      </c>
      <c r="D410" s="22" t="s">
        <v>116</v>
      </c>
      <c r="E410" s="20" t="s">
        <v>143</v>
      </c>
      <c r="F410" s="20" t="s">
        <v>144</v>
      </c>
      <c r="G410" s="25" t="s">
        <v>145</v>
      </c>
      <c r="H410" s="20" t="s">
        <v>146</v>
      </c>
      <c r="I410" s="222"/>
      <c r="J410" s="13"/>
    </row>
    <row r="411" spans="1:10" ht="14.1" customHeight="1" x14ac:dyDescent="0.25">
      <c r="A411" s="216"/>
      <c r="B411" s="74"/>
      <c r="C411" s="263" t="s">
        <v>117</v>
      </c>
      <c r="D411" s="10"/>
      <c r="E411" s="26">
        <f>E413+E412</f>
        <v>0</v>
      </c>
      <c r="F411" s="26">
        <f>F413+F412</f>
        <v>2196.7471299999997</v>
      </c>
      <c r="G411" s="87"/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118</v>
      </c>
      <c r="D414" s="10"/>
      <c r="E414" s="26">
        <f>SUM(E415:E416)</f>
        <v>0</v>
      </c>
      <c r="F414" s="26">
        <f>SUM(F415:F416)</f>
        <v>1463.1168499999999</v>
      </c>
      <c r="G414" s="87"/>
      <c r="H414" s="26">
        <f>SUM(H415:H416)</f>
        <v>1811.0628700000002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0</f>
        <v>0</v>
      </c>
      <c r="F415" s="30">
        <f>1123.27877</f>
        <v>1123.2787699999999</v>
      </c>
      <c r="G415" s="99"/>
      <c r="H415" s="30">
        <f>1413.4299</f>
        <v>1413.4299000000001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0</f>
        <v>0</v>
      </c>
      <c r="F416" s="30">
        <f>339.83808</f>
        <v>339.83807999999999</v>
      </c>
      <c r="G416" s="110"/>
      <c r="H416" s="30">
        <f>397.63297</f>
        <v>397.63297</v>
      </c>
      <c r="I416" s="152"/>
      <c r="J416" s="132"/>
    </row>
    <row r="417" spans="1:10" ht="14.1" customHeight="1" x14ac:dyDescent="0.25">
      <c r="A417" s="216"/>
      <c r="B417" s="74"/>
      <c r="C417" s="263" t="s">
        <v>119</v>
      </c>
      <c r="D417" s="10"/>
      <c r="E417" s="36">
        <f>SUM(E418:E419)</f>
        <v>30.60492</v>
      </c>
      <c r="F417" s="36">
        <f>SUM(F418:F419)</f>
        <v>155.88391000000001</v>
      </c>
      <c r="G417" s="87"/>
      <c r="H417" s="36">
        <f>SUM(H418:H419)</f>
        <v>425.89121999999998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21.87102</f>
        <v>21.871020000000001</v>
      </c>
      <c r="F418" s="30">
        <f>119.141</f>
        <v>119.14100000000001</v>
      </c>
      <c r="G418" s="99"/>
      <c r="H418" s="30">
        <f>348.72848</f>
        <v>348.72847999999999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8.7339</f>
        <v>8.7339000000000002</v>
      </c>
      <c r="F419" s="30">
        <f>36.74291</f>
        <v>36.742910000000002</v>
      </c>
      <c r="G419" s="110"/>
      <c r="H419" s="30">
        <f>77.16274</f>
        <v>77.162739999999999</v>
      </c>
      <c r="I419" s="152"/>
      <c r="J419" s="132"/>
    </row>
    <row r="420" spans="1:10" ht="14.1" customHeight="1" x14ac:dyDescent="0.25">
      <c r="A420" s="216"/>
      <c r="B420" s="74"/>
      <c r="C420" s="277" t="s">
        <v>99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89</v>
      </c>
      <c r="D421" s="41"/>
      <c r="E421" s="42">
        <f>E411+E414+E417+E420</f>
        <v>30.60492</v>
      </c>
      <c r="F421" s="42">
        <f>F411+F414+F417+F420</f>
        <v>3815.7478899999996</v>
      </c>
      <c r="G421" s="43"/>
      <c r="H421" s="42">
        <f>H411+H414+H417+H420</f>
        <v>3624.5864200000001</v>
      </c>
      <c r="I421" s="27"/>
      <c r="J421" s="132"/>
    </row>
    <row r="422" spans="1:10" ht="18.75" customHeight="1" x14ac:dyDescent="0.25">
      <c r="A422" s="216"/>
      <c r="B422" s="74"/>
      <c r="C422" s="152" t="s">
        <v>141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 t="s">
        <v>142</v>
      </c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39&amp;R02.10.2023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2023-10-02T07:07:23Z</dcterms:modified>
</cp:coreProperties>
</file>