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7003F136-647D-4013-BACC-186E335F30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331" i="1" l="1"/>
  <c r="H329" i="1"/>
  <c r="F329" i="1"/>
  <c r="F327" i="1" s="1"/>
  <c r="G327" i="1" s="1"/>
  <c r="E329" i="1"/>
  <c r="E327" i="1" s="1"/>
  <c r="H328" i="1"/>
  <c r="H327" i="1" s="1"/>
  <c r="F328" i="1"/>
  <c r="E328" i="1"/>
  <c r="H326" i="1"/>
  <c r="H324" i="1" s="1"/>
  <c r="F326" i="1"/>
  <c r="E326" i="1"/>
  <c r="H325" i="1"/>
  <c r="F325" i="1"/>
  <c r="E325" i="1"/>
  <c r="F324" i="1"/>
  <c r="G324" i="1" s="1"/>
  <c r="E324" i="1"/>
  <c r="H323" i="1"/>
  <c r="F323" i="1"/>
  <c r="F321" i="1" s="1"/>
  <c r="E323" i="1"/>
  <c r="H322" i="1"/>
  <c r="F322" i="1"/>
  <c r="E322" i="1"/>
  <c r="E321" i="1" s="1"/>
  <c r="E331" i="1" s="1"/>
  <c r="H321" i="1"/>
  <c r="E299" i="1"/>
  <c r="D299" i="1"/>
  <c r="I298" i="1"/>
  <c r="H298" i="1"/>
  <c r="G298" i="1"/>
  <c r="F298" i="1"/>
  <c r="I297" i="1"/>
  <c r="G297" i="1"/>
  <c r="H297" i="1" s="1"/>
  <c r="F297" i="1"/>
  <c r="I296" i="1"/>
  <c r="G296" i="1"/>
  <c r="G294" i="1" s="1"/>
  <c r="H294" i="1" s="1"/>
  <c r="F296" i="1"/>
  <c r="I295" i="1"/>
  <c r="G295" i="1"/>
  <c r="F295" i="1"/>
  <c r="F294" i="1" s="1"/>
  <c r="I294" i="1"/>
  <c r="I293" i="1"/>
  <c r="G293" i="1"/>
  <c r="H293" i="1" s="1"/>
  <c r="F293" i="1"/>
  <c r="I292" i="1"/>
  <c r="H292" i="1"/>
  <c r="G292" i="1"/>
  <c r="F292" i="1"/>
  <c r="I291" i="1"/>
  <c r="G291" i="1"/>
  <c r="G288" i="1" s="1"/>
  <c r="G299" i="1" s="1"/>
  <c r="F291" i="1"/>
  <c r="F288" i="1" s="1"/>
  <c r="F299" i="1" s="1"/>
  <c r="I290" i="1"/>
  <c r="H290" i="1"/>
  <c r="G290" i="1"/>
  <c r="F290" i="1"/>
  <c r="I289" i="1"/>
  <c r="G289" i="1"/>
  <c r="H289" i="1" s="1"/>
  <c r="F289" i="1"/>
  <c r="I288" i="1"/>
  <c r="I299" i="1" s="1"/>
  <c r="E288" i="1"/>
  <c r="D288" i="1"/>
  <c r="H280" i="1"/>
  <c r="F280" i="1"/>
  <c r="D262" i="1"/>
  <c r="H261" i="1"/>
  <c r="F261" i="1"/>
  <c r="E261" i="1"/>
  <c r="H260" i="1"/>
  <c r="G260" i="1"/>
  <c r="F260" i="1"/>
  <c r="E260" i="1"/>
  <c r="H259" i="1"/>
  <c r="F259" i="1"/>
  <c r="G259" i="1" s="1"/>
  <c r="E259" i="1"/>
  <c r="H258" i="1"/>
  <c r="H262" i="1" s="1"/>
  <c r="G258" i="1"/>
  <c r="F258" i="1"/>
  <c r="F262" i="1" s="1"/>
  <c r="G262" i="1" s="1"/>
  <c r="E258" i="1"/>
  <c r="E262" i="1" s="1"/>
  <c r="D251" i="1"/>
  <c r="F207" i="1"/>
  <c r="G207" i="1" s="1"/>
  <c r="E207" i="1"/>
  <c r="D207" i="1"/>
  <c r="G206" i="1"/>
  <c r="H205" i="1"/>
  <c r="G205" i="1"/>
  <c r="F205" i="1"/>
  <c r="E205" i="1"/>
  <c r="H204" i="1"/>
  <c r="H207" i="1" s="1"/>
  <c r="G204" i="1"/>
  <c r="F204" i="1"/>
  <c r="E204" i="1"/>
  <c r="D184" i="1"/>
  <c r="H182" i="1"/>
  <c r="G182" i="1"/>
  <c r="F182" i="1"/>
  <c r="E182" i="1"/>
  <c r="H181" i="1"/>
  <c r="F181" i="1"/>
  <c r="E181" i="1"/>
  <c r="H180" i="1"/>
  <c r="H178" i="1" s="1"/>
  <c r="F180" i="1"/>
  <c r="F178" i="1" s="1"/>
  <c r="G178" i="1" s="1"/>
  <c r="E180" i="1"/>
  <c r="H179" i="1"/>
  <c r="F179" i="1"/>
  <c r="E179" i="1"/>
  <c r="E178" i="1"/>
  <c r="H177" i="1"/>
  <c r="F177" i="1"/>
  <c r="G177" i="1" s="1"/>
  <c r="E177" i="1"/>
  <c r="H176" i="1"/>
  <c r="F176" i="1"/>
  <c r="G175" i="1" s="1"/>
  <c r="E176" i="1"/>
  <c r="E184" i="1" s="1"/>
  <c r="H175" i="1"/>
  <c r="H184" i="1" s="1"/>
  <c r="F175" i="1"/>
  <c r="F184" i="1" s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F139" i="1" s="1"/>
  <c r="I140" i="1"/>
  <c r="I139" i="1" s="1"/>
  <c r="I133" i="1" s="1"/>
  <c r="H140" i="1"/>
  <c r="H139" i="1" s="1"/>
  <c r="G140" i="1"/>
  <c r="F140" i="1"/>
  <c r="G139" i="1"/>
  <c r="E139" i="1"/>
  <c r="I138" i="1"/>
  <c r="H138" i="1"/>
  <c r="F138" i="1"/>
  <c r="I137" i="1"/>
  <c r="H137" i="1"/>
  <c r="F137" i="1"/>
  <c r="I136" i="1"/>
  <c r="H136" i="1"/>
  <c r="F136" i="1"/>
  <c r="I135" i="1"/>
  <c r="G134" i="1"/>
  <c r="G133" i="1" s="1"/>
  <c r="F135" i="1"/>
  <c r="F134" i="1" s="1"/>
  <c r="F133" i="1" s="1"/>
  <c r="I134" i="1"/>
  <c r="E134" i="1"/>
  <c r="E133" i="1" s="1"/>
  <c r="E150" i="1" s="1"/>
  <c r="I132" i="1"/>
  <c r="H132" i="1"/>
  <c r="F132" i="1"/>
  <c r="H131" i="1"/>
  <c r="I130" i="1"/>
  <c r="I128" i="1" s="1"/>
  <c r="I150" i="1" s="1"/>
  <c r="H130" i="1"/>
  <c r="G130" i="1"/>
  <c r="F130" i="1"/>
  <c r="I129" i="1"/>
  <c r="G129" i="1"/>
  <c r="G128" i="1" s="1"/>
  <c r="F129" i="1"/>
  <c r="F128" i="1" s="1"/>
  <c r="E128" i="1"/>
  <c r="C126" i="1"/>
  <c r="D107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H96" i="1" s="1"/>
  <c r="H95" i="1" s="1"/>
  <c r="F98" i="1"/>
  <c r="I97" i="1"/>
  <c r="H97" i="1"/>
  <c r="G97" i="1"/>
  <c r="F97" i="1"/>
  <c r="F96" i="1" s="1"/>
  <c r="F95" i="1" s="1"/>
  <c r="I96" i="1"/>
  <c r="I95" i="1" s="1"/>
  <c r="G96" i="1"/>
  <c r="G95" i="1" s="1"/>
  <c r="E96" i="1"/>
  <c r="E95" i="1"/>
  <c r="E107" i="1" s="1"/>
  <c r="I94" i="1"/>
  <c r="I92" i="1" s="1"/>
  <c r="H94" i="1"/>
  <c r="G94" i="1"/>
  <c r="F94" i="1"/>
  <c r="I93" i="1"/>
  <c r="G93" i="1"/>
  <c r="G92" i="1" s="1"/>
  <c r="G107" i="1" s="1"/>
  <c r="F93" i="1"/>
  <c r="F92" i="1" s="1"/>
  <c r="F107" i="1" s="1"/>
  <c r="C89" i="1"/>
  <c r="H85" i="1"/>
  <c r="F85" i="1"/>
  <c r="D85" i="1"/>
  <c r="G61" i="1"/>
  <c r="G60" i="1"/>
  <c r="H55" i="1"/>
  <c r="F55" i="1"/>
  <c r="G55" i="1" s="1"/>
  <c r="E55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G35" i="1"/>
  <c r="G34" i="1" s="1"/>
  <c r="F35" i="1"/>
  <c r="F34" i="1" s="1"/>
  <c r="F26" i="1" s="1"/>
  <c r="E34" i="1"/>
  <c r="I33" i="1"/>
  <c r="G33" i="1"/>
  <c r="H33" i="1" s="1"/>
  <c r="F33" i="1"/>
  <c r="I32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G29" i="1"/>
  <c r="G27" i="1" s="1"/>
  <c r="F29" i="1"/>
  <c r="I28" i="1"/>
  <c r="I27" i="1" s="1"/>
  <c r="G28" i="1"/>
  <c r="H28" i="1" s="1"/>
  <c r="F28" i="1"/>
  <c r="F27" i="1"/>
  <c r="E27" i="1"/>
  <c r="E26" i="1" s="1"/>
  <c r="I25" i="1"/>
  <c r="G25" i="1"/>
  <c r="H25" i="1" s="1"/>
  <c r="F25" i="1"/>
  <c r="I24" i="1"/>
  <c r="G24" i="1"/>
  <c r="H24" i="1" s="1"/>
  <c r="F24" i="1"/>
  <c r="F23" i="1" s="1"/>
  <c r="F44" i="1" s="1"/>
  <c r="I23" i="1"/>
  <c r="G23" i="1"/>
  <c r="E23" i="1"/>
  <c r="E44" i="1" s="1"/>
  <c r="H16" i="1"/>
  <c r="F16" i="1"/>
  <c r="D16" i="1"/>
  <c r="I34" i="1" l="1"/>
  <c r="I26" i="1" s="1"/>
  <c r="I44" i="1" s="1"/>
  <c r="H35" i="1"/>
  <c r="H27" i="1"/>
  <c r="H23" i="1"/>
  <c r="G26" i="1"/>
  <c r="G44" i="1" s="1"/>
  <c r="H34" i="1"/>
  <c r="H26" i="1" s="1"/>
  <c r="F150" i="1"/>
  <c r="H331" i="1"/>
  <c r="G150" i="1"/>
  <c r="I107" i="1"/>
  <c r="G184" i="1"/>
  <c r="G321" i="1"/>
  <c r="G331" i="1" s="1"/>
  <c r="F331" i="1"/>
  <c r="H135" i="1"/>
  <c r="H134" i="1" s="1"/>
  <c r="H133" i="1" s="1"/>
  <c r="H29" i="1"/>
  <c r="H93" i="1"/>
  <c r="H92" i="1" s="1"/>
  <c r="H107" i="1" s="1"/>
  <c r="H129" i="1"/>
  <c r="H128" i="1" s="1"/>
  <c r="H291" i="1"/>
  <c r="H288" i="1" s="1"/>
  <c r="H299" i="1" s="1"/>
  <c r="H150" i="1" l="1"/>
  <c r="H44" i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<sst xmlns="http://schemas.openxmlformats.org/spreadsheetml/2006/main" count="328" uniqueCount="146">
  <si>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</si>
  <si>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</si>
  <si>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</si>
  <si>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</si>
  <si>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</si>
  <si>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</si>
  <si>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</si>
  <si>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</si>
  <si>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</si>
  <si>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</si>
  <si>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</si>
  <si>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</si>
  <si>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</si>
  <si>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</si>
  <si>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</si>
  <si>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</si>
  <si>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</si>
  <si>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</si>
  <si>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</si>
  <si>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</si>
  <si>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</si>
  <si>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</si>
  <si>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</si>
  <si>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</si>
  <si>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</si>
  <si>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</si>
  <si>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</si>
  <si>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</si>
  <si>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</si>
  <si>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</si>
  <si>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</si>
  <si>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</si>
  <si>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</si>
  <si>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</si>
  <si>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</si>
  <si>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</si>
  <si>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</si>
  <si>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</si>
  <si>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</si>
  <si>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</si>
  <si>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</si>
  <si>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</si>
  <si>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</si>
  <si>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</si>
  <si>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</si>
  <si>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</si>
  <si>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</si>
  <si>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</si>
  <si>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</si>
  <si>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</si>
  <si>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</si>
  <si>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</si>
  <si>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</si>
  <si>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</si>
  <si>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</si>
  <si>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</si>
  <si>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</si>
  <si>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</si>
  <si>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</si>
  <si>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</si>
  <si>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</si>
  <si>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</si>
  <si>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</si>
  <si>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</si>
  <si>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</si>
  <si>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</si>
  <si>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</si>
  <si>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</si>
  <si>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</si>
  <si>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</si>
  <si>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</si>
  <si>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</si>
  <si>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</si>
  <si>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</si>
  <si>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</si>
  <si>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</si>
  <si>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</si>
  <si>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</si>
  <si>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</si>
  <si>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</si>
  <si>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</si>
  <si>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</si>
  <si>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</si>
  <si>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</si>
  <si>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</si>
  <si>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</si>
  <si>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</si>
  <si>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</si>
  <si>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</si>
  <si>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</si>
  <si>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</si>
  <si>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</si>
  <si>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</si>
  <si>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</si>
  <si>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</si>
  <si>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</si>
  <si>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</si>
  <si>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</si>
  <si>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</si>
  <si>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</si>
  <si>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</si>
  <si>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</si>
  <si>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</si>
  <si>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</si>
  <si>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</si>
  <si>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</si>
  <si>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</si>
  <si>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</si>
  <si>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</si>
  <si>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</si>
  <si>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</si>
  <si>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</si>
  <si>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</si>
  <si>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</si>
  <si>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</si>
  <si>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</si>
  <si>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</si>
  <si>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</si>
  <si>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</si>
  <si>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</si>
  <si>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</si>
  <si>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</si>
  <si>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</si>
  <si>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</si>
  <si>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</si>
  <si>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</si>
  <si>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</si>
  <si>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</si>
  <si>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</si>
  <si>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</si>
  <si>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</si>
  <si>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</si>
  <si>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</si>
  <si>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</si>
  <si>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</si>
  <si>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</si>
  <si>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</si>
  <si>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</si>
  <si>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11</t>
  </si>
  <si>
    <t>FANGST T.O.M UKE 11</t>
  </si>
  <si>
    <t>RESTKVOTER UKE 11</t>
  </si>
  <si>
    <t>FANGST T.O.M UKE 11 2022</t>
  </si>
  <si>
    <r>
      <t xml:space="preserve">3 </t>
    </r>
    <r>
      <rPr>
        <sz val="9"/>
        <color indexed="8"/>
        <rFont val="Calibri"/>
        <family val="2"/>
      </rPr>
      <t>Registrert rekreasjonsfiske utgjør 208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</si>
  <si>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15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</si>
  <si>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80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</si>
  <si>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488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</si>
</sst>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4" tint="0.79998168889431442"/>
        <bgColor indexed="65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3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3" fontId="7" fillId="2" borderId="2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3" xfId="0" applyFont="1" applyBorder="1"/>
    <xf numFmtId="0" fontId="8" fillId="0" borderId="4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9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2" fillId="0" borderId="18" xfId="0" applyNumberFormat="1" applyFont="1" applyBorder="1" applyAlignment="1">
      <alignment horizontal="right" vertical="center" indent="1"/>
    </xf>
    <xf numFmtId="3" fontId="13" fillId="0" borderId="19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14" fillId="0" borderId="8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7" fillId="3" borderId="2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 indent="1"/>
    </xf>
    <xf numFmtId="0" fontId="2" fillId="0" borderId="24" xfId="0" applyFont="1" applyBorder="1" applyAlignment="1">
      <alignment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3" fontId="2" fillId="0" borderId="29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4" xfId="0" applyFont="1" applyBorder="1" applyAlignment="1">
      <alignment vertical="center" wrapText="1"/>
    </xf>
    <xf numFmtId="3" fontId="18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31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2" fillId="0" borderId="13" xfId="0" applyFont="1" applyBorder="1"/>
    <xf numFmtId="0" fontId="9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3" fontId="17" fillId="0" borderId="29" xfId="0" applyNumberFormat="1" applyFont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0" fontId="7" fillId="2" borderId="33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3" fontId="4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3" fontId="9" fillId="0" borderId="34" xfId="0" applyNumberFormat="1" applyFont="1" applyBorder="1" applyAlignment="1">
      <alignment horizontal="right" vertical="center" wrapText="1"/>
    </xf>
    <xf numFmtId="3" fontId="9" fillId="0" borderId="3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2" fillId="0" borderId="33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7" fillId="2" borderId="40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2" fillId="0" borderId="19" xfId="0" applyNumberFormat="1" applyFont="1" applyBorder="1" applyAlignment="1">
      <alignment horizontal="right" vertical="center" indent="1"/>
    </xf>
    <xf numFmtId="0" fontId="2" fillId="0" borderId="3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/>
    </xf>
    <xf numFmtId="3" fontId="17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/>
    <xf numFmtId="3" fontId="17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4" fillId="0" borderId="43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wrapText="1"/>
    </xf>
    <xf numFmtId="0" fontId="9" fillId="0" borderId="3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3" fontId="9" fillId="0" borderId="32" xfId="0" applyNumberFormat="1" applyFont="1" applyBorder="1" applyAlignment="1">
      <alignment horizontal="right" vertical="center" wrapText="1"/>
    </xf>
    <xf numFmtId="0" fontId="9" fillId="0" borderId="37" xfId="0" applyFont="1" applyBorder="1" applyAlignment="1">
      <alignment vertical="center"/>
    </xf>
    <xf numFmtId="3" fontId="23" fillId="0" borderId="0" xfId="0" applyNumberFormat="1" applyFont="1" applyAlignment="1">
      <alignment horizontal="right" vertical="center" indent="1"/>
    </xf>
    <xf numFmtId="3" fontId="24" fillId="0" borderId="32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2" fillId="0" borderId="22" xfId="0" applyFont="1" applyBorder="1"/>
    <xf numFmtId="0" fontId="7" fillId="2" borderId="28" xfId="0" applyFont="1" applyFill="1" applyBorder="1" applyAlignment="1">
      <alignment horizontal="center" vertical="center"/>
    </xf>
    <xf numFmtId="0" fontId="2" fillId="0" borderId="0" xfId="0" applyFont="1"/>
    <xf numFmtId="0" fontId="23" fillId="0" borderId="0" xfId="0" applyFont="1"/>
    <xf numFmtId="3" fontId="9" fillId="0" borderId="12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3" xfId="0" applyFont="1" applyBorder="1"/>
    <xf numFmtId="0" fontId="11" fillId="0" borderId="0" xfId="0" applyFont="1" applyAlignment="1">
      <alignment vertical="center"/>
    </xf>
    <xf numFmtId="0" fontId="7" fillId="2" borderId="28" xfId="0" applyFont="1" applyFill="1" applyBorder="1" applyAlignment="1">
      <alignment vertical="center" wrapText="1"/>
    </xf>
    <xf numFmtId="3" fontId="2" fillId="0" borderId="39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1" fillId="0" borderId="4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1" fillId="0" borderId="0" xfId="0" applyNumberFormat="1" applyFont="1"/>
    <xf numFmtId="3" fontId="9" fillId="0" borderId="29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9" fillId="0" borderId="45" xfId="0" applyFont="1" applyBorder="1" applyAlignment="1">
      <alignment vertical="center" wrapText="1"/>
    </xf>
    <xf numFmtId="3" fontId="9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7" fillId="2" borderId="8" xfId="0" applyNumberFormat="1" applyFont="1" applyFill="1" applyBorder="1" applyAlignment="1">
      <alignment vertical="center" wrapText="1"/>
    </xf>
    <xf numFmtId="0" fontId="18" fillId="0" borderId="2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vertical="center"/>
    </xf>
    <xf numFmtId="3" fontId="18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9" fillId="0" borderId="22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9" fillId="0" borderId="38" xfId="0" applyNumberFormat="1" applyFont="1" applyBorder="1" applyAlignment="1">
      <alignment horizontal="right" vertical="center"/>
    </xf>
    <xf numFmtId="1" fontId="14" fillId="0" borderId="36" xfId="0" applyNumberFormat="1" applyFont="1" applyBorder="1" applyAlignment="1">
      <alignment horizontal="right" vertical="top"/>
    </xf>
    <xf numFmtId="1" fontId="13" fillId="0" borderId="38" xfId="0" applyNumberFormat="1" applyFont="1" applyBorder="1" applyAlignment="1">
      <alignment vertical="center"/>
    </xf>
    <xf numFmtId="0" fontId="2" fillId="0" borderId="4" xfId="0" applyFont="1" applyBorder="1"/>
    <xf numFmtId="0" fontId="26" fillId="0" borderId="0" xfId="0" applyFont="1"/>
    <xf numFmtId="0" fontId="27" fillId="0" borderId="7" xfId="0" applyFont="1" applyBorder="1" applyAlignment="1">
      <alignment vertical="center"/>
    </xf>
    <xf numFmtId="3" fontId="9" fillId="0" borderId="45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33" xfId="0" applyFont="1" applyBorder="1" applyAlignment="1">
      <alignment vertical="top" wrapText="1"/>
    </xf>
    <xf numFmtId="3" fontId="9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29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7" fillId="2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3" fontId="2" fillId="0" borderId="50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4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3" borderId="8" xfId="0" applyFont="1" applyFill="1" applyBorder="1" applyAlignment="1">
      <alignment horizontal="left" vertical="center" wrapText="1"/>
    </xf>
    <xf numFmtId="3" fontId="7" fillId="3" borderId="32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30" fillId="0" borderId="0" xfId="0" applyNumberFormat="1" applyFont="1" applyAlignment="1">
      <alignment horizontal="right" vertical="center" wrapText="1"/>
    </xf>
    <xf numFmtId="0" fontId="10" fillId="0" borderId="0" xfId="0" applyFont="1"/>
    <xf numFmtId="3" fontId="2" fillId="0" borderId="37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</cellXfs>
  <cellStyles count="2">
    <cellStyle name="20 % - uthevingsfarge 1" xfId="1" xr:uid="{B82AB9B8-8A4E-43E8-BC5D-D490F00DDC5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Normal="85" zoomScaleSheetLayoutView="100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84053</v>
      </c>
      <c r="F23" s="28">
        <f t="shared" si="0"/>
        <v>1811.9288600000002</v>
      </c>
      <c r="G23" s="28">
        <f t="shared" si="0"/>
        <v>26579.858499999998</v>
      </c>
      <c r="H23" s="11">
        <f t="shared" si="0"/>
        <v>57473.141499999998</v>
      </c>
      <c r="I23" s="11">
        <f t="shared" si="0"/>
        <v>35760.316930000001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83271</v>
      </c>
      <c r="F24" s="23">
        <f>1810.83236</f>
        <v>1810.8323600000001</v>
      </c>
      <c r="G24" s="23">
        <f>26523.0595</f>
        <v>26523.059499999999</v>
      </c>
      <c r="H24" s="23">
        <f>E24-G24</f>
        <v>56747.940499999997</v>
      </c>
      <c r="I24" s="23">
        <f>35710.87115</f>
        <v>35710.871149999999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1.0965</f>
        <v>1.0965</v>
      </c>
      <c r="G25" s="23">
        <f>56.799</f>
        <v>56.798999999999999</v>
      </c>
      <c r="H25" s="23">
        <f>E25-G25</f>
        <v>725.20100000000002</v>
      </c>
      <c r="I25" s="23">
        <f>49.44578</f>
        <v>49.445779999999999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191675</v>
      </c>
      <c r="F26" s="28">
        <f t="shared" si="1"/>
        <v>17067.287609999999</v>
      </c>
      <c r="G26" s="11">
        <f t="shared" si="1"/>
        <v>74799.914320000011</v>
      </c>
      <c r="H26" s="11">
        <f t="shared" si="1"/>
        <v>116875.08567999999</v>
      </c>
      <c r="I26" s="11">
        <f t="shared" si="1"/>
        <v>101240.64861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148041</v>
      </c>
      <c r="F27" s="134">
        <f>F28+F29+F30+F31+F32</f>
        <v>14397.479139999999</v>
      </c>
      <c r="G27" s="134">
        <f t="shared" si="2"/>
        <v>60758.831810000003</v>
      </c>
      <c r="H27" s="134">
        <f t="shared" si="2"/>
        <v>87282.168189999997</v>
      </c>
      <c r="I27" s="134">
        <f t="shared" si="2"/>
        <v>85949.105750000002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38361</v>
      </c>
      <c r="F28" s="205">
        <f>4166.28099</f>
        <v>4166.2809900000002</v>
      </c>
      <c r="G28" s="129">
        <f>14694.66891 - F57</f>
        <v>14694.66891</v>
      </c>
      <c r="H28" s="129">
        <f t="shared" ref="H28:H40" si="3">E28-G28</f>
        <v>23666.33109</v>
      </c>
      <c r="I28" s="129">
        <f>20244.55225 - H57</f>
        <v>20244.552250000001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39519</v>
      </c>
      <c r="F29" s="129">
        <f>4190.65885</f>
        <v>4190.6588499999998</v>
      </c>
      <c r="G29" s="129">
        <f>18116.53598 - F58</f>
        <v>18116.535980000001</v>
      </c>
      <c r="H29" s="129">
        <f t="shared" si="3"/>
        <v>21402.464019999999</v>
      </c>
      <c r="I29" s="129">
        <f>27379.74122 - H58</f>
        <v>27379.74122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36008</v>
      </c>
      <c r="F30" s="129">
        <f>3393.33316</f>
        <v>3393.3331600000001</v>
      </c>
      <c r="G30" s="129">
        <f>15005.49706 - F59</f>
        <v>15005.49706</v>
      </c>
      <c r="H30" s="129">
        <f t="shared" si="3"/>
        <v>21002.502939999998</v>
      </c>
      <c r="I30" s="129">
        <f>21624.84595 - H59</f>
        <v>21624.845949999999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24489</v>
      </c>
      <c r="F31" s="129">
        <f>2647.20614</f>
        <v>2647.2061399999998</v>
      </c>
      <c r="G31" s="129">
        <f>12942.12986 - F60</f>
        <v>12942.129859999999</v>
      </c>
      <c r="H31" s="129">
        <f t="shared" si="3"/>
        <v>11546.870140000001</v>
      </c>
      <c r="I31" s="129">
        <f>16699.96633 - H60</f>
        <v>16699.966329999999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22831</v>
      </c>
      <c r="F33" s="134">
        <f>347.15122</f>
        <v>347.15122000000002</v>
      </c>
      <c r="G33" s="134">
        <f>7331.64909</f>
        <v>7331.6490899999999</v>
      </c>
      <c r="H33" s="134">
        <f t="shared" si="3"/>
        <v>15499.350910000001</v>
      </c>
      <c r="I33" s="134">
        <f>8748.88624</f>
        <v>8748.8862399999998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20803</v>
      </c>
      <c r="F34" s="134">
        <f>F35+F36</f>
        <v>2322.6572500000002</v>
      </c>
      <c r="G34" s="134">
        <f>G35+G36</f>
        <v>6709.4334200000003</v>
      </c>
      <c r="H34" s="134">
        <f t="shared" si="3"/>
        <v>14093.566579999999</v>
      </c>
      <c r="I34" s="134">
        <f>I35+I36</f>
        <v>6542.6566199999997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19603</v>
      </c>
      <c r="F35" s="129">
        <f>2322.65725</f>
        <v>2322.6572500000002</v>
      </c>
      <c r="G35" s="134">
        <f>7061.43342 - F61 - F62</f>
        <v>6709.4334200000003</v>
      </c>
      <c r="H35" s="129">
        <f t="shared" si="3"/>
        <v>12893.566579999999</v>
      </c>
      <c r="I35" s="129">
        <f>6819.65662 - H61 - H62</f>
        <v>6542.6566199999997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18.1347</f>
        <v>18.134699999999999</v>
      </c>
      <c r="G37" s="141">
        <f>18.1347</f>
        <v>18.134699999999999</v>
      </c>
      <c r="H37" s="141">
        <f t="shared" si="3"/>
        <v>2981.8652999999999</v>
      </c>
      <c r="I37" s="141">
        <f>107.08275</f>
        <v>107.08275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43.2605</f>
        <v>43.2605</v>
      </c>
      <c r="G38" s="100">
        <f>201.47273</f>
        <v>201.47273000000001</v>
      </c>
      <c r="H38" s="100">
        <f t="shared" si="3"/>
        <v>649.52727000000004</v>
      </c>
      <c r="I38" s="100">
        <f>211.42077</f>
        <v>211.42077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0</v>
      </c>
      <c r="G39" s="100">
        <f>F61</f>
        <v>352</v>
      </c>
      <c r="H39" s="100">
        <f t="shared" si="3"/>
        <v>2696</v>
      </c>
      <c r="I39" s="100">
        <f>H61</f>
        <v>277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44.55037</f>
        <v>44.550370000000001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290027</v>
      </c>
      <c r="F44" s="78">
        <f t="shared" si="4"/>
        <v>18985.16504</v>
      </c>
      <c r="G44" s="78">
        <f t="shared" si="4"/>
        <v>109030.94125000003</v>
      </c>
      <c r="H44" s="78">
        <f t="shared" si="4"/>
        <v>180996.05874999997</v>
      </c>
      <c r="I44" s="78">
        <f t="shared" si="4"/>
        <v>144717.40748999998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142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thickBot="1" x14ac:dyDescent="0.3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thickBot="1" x14ac:dyDescent="0.3">
      <c r="A61" s="101"/>
      <c r="B61" s="24"/>
      <c r="C61" s="144" t="s">
        <v>48</v>
      </c>
      <c r="D61" s="141">
        <v>3000</v>
      </c>
      <c r="E61" s="141"/>
      <c r="F61" s="141">
        <v>352</v>
      </c>
      <c r="G61" s="141">
        <f>D61-F61</f>
        <v>2648</v>
      </c>
      <c r="H61" s="141">
        <v>277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33472</v>
      </c>
      <c r="E92" s="28">
        <v>36235</v>
      </c>
      <c r="F92" s="11">
        <f t="shared" ref="F92:I92" si="5">F94+F93</f>
        <v>2350.18968</v>
      </c>
      <c r="G92" s="11">
        <f t="shared" si="5"/>
        <v>8811.9840500000009</v>
      </c>
      <c r="H92" s="11">
        <f t="shared" si="5"/>
        <v>27423.015950000001</v>
      </c>
      <c r="I92" s="11">
        <f t="shared" si="5"/>
        <v>18608.39054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32722</v>
      </c>
      <c r="E93" s="48">
        <v>35423</v>
      </c>
      <c r="F93" s="23">
        <f>2344.35588</f>
        <v>2344.3558800000001</v>
      </c>
      <c r="G93" s="23">
        <f>8754.15005</f>
        <v>8754.1500500000002</v>
      </c>
      <c r="H93" s="23">
        <f>E93-G93</f>
        <v>26668.84995</v>
      </c>
      <c r="I93" s="23">
        <f>18560.14885</f>
        <v>18560.148850000001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5.8338</f>
        <v>5.8338000000000001</v>
      </c>
      <c r="G94" s="52">
        <f>57.834</f>
        <v>57.834000000000003</v>
      </c>
      <c r="H94" s="52">
        <f>E94-G94</f>
        <v>754.16599999999994</v>
      </c>
      <c r="I94" s="52">
        <f>48.24169</f>
        <v>48.241689999999998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56489</v>
      </c>
      <c r="E95" s="28">
        <f t="shared" ref="E95:I95" si="6">E96+E101+E102</f>
        <v>62139</v>
      </c>
      <c r="F95" s="11">
        <f t="shared" si="6"/>
        <v>1322.10564</v>
      </c>
      <c r="G95" s="11">
        <f t="shared" si="6"/>
        <v>9344.4328399999995</v>
      </c>
      <c r="H95" s="11">
        <f t="shared" si="6"/>
        <v>52794.567160000006</v>
      </c>
      <c r="I95" s="11">
        <f t="shared" si="6"/>
        <v>12208.01079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42290</v>
      </c>
      <c r="E96" s="60">
        <f t="shared" ref="E96:I96" si="7">E97+E98+E99+E100</f>
        <v>46520</v>
      </c>
      <c r="F96" s="134">
        <f t="shared" si="7"/>
        <v>898.46641999999997</v>
      </c>
      <c r="G96" s="134">
        <f t="shared" si="7"/>
        <v>5346.0737100000006</v>
      </c>
      <c r="H96" s="134">
        <f t="shared" si="7"/>
        <v>41173.926290000003</v>
      </c>
      <c r="I96" s="134">
        <f t="shared" si="7"/>
        <v>8137.1769400000003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11327</v>
      </c>
      <c r="E97" s="65">
        <v>12460</v>
      </c>
      <c r="F97" s="129">
        <f>96.60654</f>
        <v>96.606539999999995</v>
      </c>
      <c r="G97" s="129">
        <f>1266.81846</f>
        <v>1266.81846</v>
      </c>
      <c r="H97" s="129">
        <f t="shared" ref="H97:H104" si="8">E97-G97</f>
        <v>11193.18154</v>
      </c>
      <c r="I97" s="129">
        <f>1566.73023</f>
        <v>1566.7302299999999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12171</v>
      </c>
      <c r="E98" s="65">
        <v>13388</v>
      </c>
      <c r="F98" s="129">
        <f>160.30363</f>
        <v>160.30363</v>
      </c>
      <c r="G98" s="129">
        <f>1636.8496</f>
        <v>1636.8496</v>
      </c>
      <c r="H98" s="129">
        <f t="shared" si="8"/>
        <v>11751.1504</v>
      </c>
      <c r="I98" s="129">
        <f>2848.90906</f>
        <v>2848.90906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11356</v>
      </c>
      <c r="E99" s="65">
        <v>12492</v>
      </c>
      <c r="F99" s="129">
        <f>221.58929</f>
        <v>221.58929000000001</v>
      </c>
      <c r="G99" s="129">
        <f>1251.99386</f>
        <v>1251.99386</v>
      </c>
      <c r="H99" s="129">
        <f t="shared" si="8"/>
        <v>11240.00614</v>
      </c>
      <c r="I99" s="129">
        <f>2463.22887</f>
        <v>2463.2288699999999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7436</v>
      </c>
      <c r="E100" s="65">
        <v>8180</v>
      </c>
      <c r="F100" s="129">
        <f>419.96696</f>
        <v>419.96695999999997</v>
      </c>
      <c r="G100" s="129">
        <f>1190.41179</f>
        <v>1190.4117900000001</v>
      </c>
      <c r="H100" s="129">
        <f t="shared" si="8"/>
        <v>6989.5882099999999</v>
      </c>
      <c r="I100" s="129">
        <f>1258.30878</f>
        <v>1258.3087800000001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9830</v>
      </c>
      <c r="E101" s="60">
        <v>10813</v>
      </c>
      <c r="F101" s="134">
        <f>354.9521</f>
        <v>354.95209999999997</v>
      </c>
      <c r="G101" s="134">
        <f>3294.42052</f>
        <v>3294.4205200000001</v>
      </c>
      <c r="H101" s="134">
        <f t="shared" si="8"/>
        <v>7518.5794800000003</v>
      </c>
      <c r="I101" s="134">
        <f>3584.1176</f>
        <v>3584.1176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4369</v>
      </c>
      <c r="E102" s="63">
        <v>4806</v>
      </c>
      <c r="F102" s="77">
        <f>68.68712</f>
        <v>68.687119999999993</v>
      </c>
      <c r="G102" s="77">
        <f>703.93861</f>
        <v>703.93861000000004</v>
      </c>
      <c r="H102" s="77">
        <f t="shared" si="8"/>
        <v>4102.0613899999998</v>
      </c>
      <c r="I102" s="77">
        <f>486.71625</f>
        <v>486.71625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390</v>
      </c>
      <c r="E103" s="92">
        <v>390</v>
      </c>
      <c r="F103" s="100">
        <f>0.10517</f>
        <v>0.10517</v>
      </c>
      <c r="G103" s="100">
        <f>10.50902</f>
        <v>10.50902</v>
      </c>
      <c r="H103" s="100">
        <f t="shared" si="8"/>
        <v>379.49097999999998</v>
      </c>
      <c r="I103" s="100">
        <f>20.4653</f>
        <v>20.465299999999999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3.86283</f>
        <v>3.8628300000000002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90701</v>
      </c>
      <c r="E107" s="78">
        <f t="shared" ref="E107:I107" si="9">E92+E95+E103+E104+E105+E106</f>
        <v>99114</v>
      </c>
      <c r="F107" s="78">
        <f t="shared" si="9"/>
        <v>3676.26332</v>
      </c>
      <c r="G107" s="78">
        <f t="shared" si="9"/>
        <v>18475.693709999989</v>
      </c>
      <c r="H107" s="78">
        <f t="shared" si="9"/>
        <v>80638.306290000022</v>
      </c>
      <c r="I107" s="78">
        <f t="shared" si="9"/>
        <v>31180.601409999999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143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1248.9373900000001</v>
      </c>
      <c r="G128" s="11">
        <f t="shared" si="10"/>
        <v>23238.49857</v>
      </c>
      <c r="H128" s="11">
        <f t="shared" si="10"/>
        <v>47302.501430000004</v>
      </c>
      <c r="I128" s="11">
        <f t="shared" si="10"/>
        <v>17806.997330000002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917.03651</f>
        <v>917.03651000000002</v>
      </c>
      <c r="G129" s="23">
        <f>20212.91299</f>
        <v>20212.912990000001</v>
      </c>
      <c r="H129" s="23">
        <f>E129-G129</f>
        <v>35879.087010000003</v>
      </c>
      <c r="I129" s="23">
        <f>13916.10345</f>
        <v>13916.103450000001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331.90088</f>
        <v>331.90087999999997</v>
      </c>
      <c r="G130" s="23">
        <f>3025.58558</f>
        <v>3025.5855799999999</v>
      </c>
      <c r="H130" s="23">
        <f>E130-G130</f>
        <v>10923.414420000001</v>
      </c>
      <c r="I130" s="23">
        <f>3890.89388</f>
        <v>3890.8938800000001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0</f>
        <v>0</v>
      </c>
      <c r="G132" s="97">
        <f>13.04995 + 488.3595</f>
        <v>501.40945000000005</v>
      </c>
      <c r="H132" s="97">
        <f>E132-G132</f>
        <v>48670.590550000001</v>
      </c>
      <c r="I132" s="97">
        <f>40.023</f>
        <v>40.023000000000003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2641.6855199999995</v>
      </c>
      <c r="G133" s="96">
        <f t="shared" ref="G133" si="11">G134+G139+G142</f>
        <v>29414.049470000002</v>
      </c>
      <c r="H133" s="96">
        <f>H134+H139+H142</f>
        <v>51525.950530000002</v>
      </c>
      <c r="I133" s="96">
        <f>I134+I139+I142</f>
        <v>26130.204470000001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1431.8861400000001</v>
      </c>
      <c r="G134" s="127">
        <f>G135+G136+G138+G137</f>
        <v>25055.82041</v>
      </c>
      <c r="H134" s="127">
        <f>H135+H136+H137+H138</f>
        <v>34448.17959</v>
      </c>
      <c r="I134" s="127">
        <f>I135+I136+I137+I138</f>
        <v>21458.193780000001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174.742</f>
        <v>174.74199999999999</v>
      </c>
      <c r="G135" s="129">
        <v>3999.9934499999999</v>
      </c>
      <c r="H135" s="129">
        <f>E135-G135</f>
        <v>13504.00655</v>
      </c>
      <c r="I135" s="129">
        <f>2885.70361</f>
        <v>2885.70361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347.49202</f>
        <v>347.49202000000002</v>
      </c>
      <c r="G136" s="129">
        <v>7838.93894</v>
      </c>
      <c r="H136" s="129">
        <f>E136-G136</f>
        <v>7245.06106</v>
      </c>
      <c r="I136" s="129">
        <f>6537.13615</f>
        <v>6537.1361500000003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529.72562</f>
        <v>529.72562000000005</v>
      </c>
      <c r="G137" s="129">
        <v>6120.26847</v>
      </c>
      <c r="H137" s="129">
        <f>E137-G137</f>
        <v>8902.7315300000009</v>
      </c>
      <c r="I137" s="129">
        <f>6166.28886</f>
        <v>6166.2888599999997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379.9265</f>
        <v>379.92649999999998</v>
      </c>
      <c r="G138" s="129">
        <v>7096.6195500000003</v>
      </c>
      <c r="H138" s="129">
        <f>E138-G138</f>
        <v>4796.3804499999997</v>
      </c>
      <c r="I138" s="129">
        <f>5869.06516</f>
        <v>5869.0651600000001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1124.0359999999998</v>
      </c>
      <c r="G139" s="134">
        <f>SUM(G140:G141)</f>
        <v>2837.41689</v>
      </c>
      <c r="H139" s="134">
        <f>H140+H141</f>
        <v>6594.5831100000005</v>
      </c>
      <c r="I139" s="134">
        <f>SUM(I140:I141)</f>
        <v>3435.18957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1119.003</f>
        <v>1119.0029999999999</v>
      </c>
      <c r="G140" s="129">
        <f>2653.641</f>
        <v>2653.6410000000001</v>
      </c>
      <c r="H140" s="129">
        <f t="shared" ref="H140:H147" si="12">E140-G140</f>
        <v>6278.3590000000004</v>
      </c>
      <c r="I140" s="129">
        <f>3375.42017</f>
        <v>3375.4201699999999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5.033</f>
        <v>5.0330000000000004</v>
      </c>
      <c r="G141" s="129">
        <f>183.77589</f>
        <v>183.77589</v>
      </c>
      <c r="H141" s="129">
        <f t="shared" si="12"/>
        <v>316.22411</v>
      </c>
      <c r="I141" s="129">
        <f>59.7694</f>
        <v>59.769399999999997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85.76338</f>
        <v>85.763379999999998</v>
      </c>
      <c r="G142" s="77">
        <f>1520.81217</f>
        <v>1520.8121699999999</v>
      </c>
      <c r="H142" s="77">
        <f t="shared" si="12"/>
        <v>10483.187830000001</v>
      </c>
      <c r="I142" s="77">
        <f>1236.82112</f>
        <v>1236.8211200000001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0.07828</f>
        <v>7.8280000000000002E-2</v>
      </c>
      <c r="G143" s="141">
        <f>13.56061</f>
        <v>13.56061</v>
      </c>
      <c r="H143" s="141">
        <f t="shared" si="12"/>
        <v>123.43939</v>
      </c>
      <c r="I143" s="141">
        <f>17.99844</f>
        <v>17.998439999999999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11.21977</f>
        <v>11.21977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3901.9209599999999</v>
      </c>
      <c r="G150" s="78">
        <f>G128+G132+G133+G143+G144+G145+G146+G147+G148</f>
        <v>55167.518100000001</v>
      </c>
      <c r="H150" s="78">
        <f>H128+H132+H133+H143+H144+H145+H146+H147+H148</f>
        <v>148067.48190000001</v>
      </c>
      <c r="I150" s="78">
        <f>I128+I132+I133+I143+I144+I145+I146+I147+I148</f>
        <v>45995.223240000007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145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144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24.04393</f>
        <v>24.04393</v>
      </c>
      <c r="F175" s="274">
        <f>317.43286</f>
        <v>317.43286000000001</v>
      </c>
      <c r="G175" s="45">
        <f>D175-F175-F176</f>
        <v>4505.9267</v>
      </c>
      <c r="H175" s="274">
        <f>246.02443</f>
        <v>246.02443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164.64044</f>
        <v>164.64044000000001</v>
      </c>
      <c r="G176" s="215"/>
      <c r="H176" s="154">
        <f>335.57409</f>
        <v>335.57409000000001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19.02122</f>
        <v>19.02122</v>
      </c>
      <c r="G177" s="174">
        <f>D177-F177</f>
        <v>180.97878</v>
      </c>
      <c r="H177" s="174">
        <f>8.80508</f>
        <v>8.8050800000000002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2.8177400000000001</v>
      </c>
      <c r="F178" s="183">
        <f>F179+F180+F181</f>
        <v>6.7550600000000003</v>
      </c>
      <c r="G178" s="183">
        <f>D178-F178</f>
        <v>7474.2449399999996</v>
      </c>
      <c r="H178" s="183">
        <f>H179+H180+H181</f>
        <v>17.383520000000001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2.258</f>
        <v>2.258</v>
      </c>
      <c r="F179" s="129">
        <f>2.8726</f>
        <v>2.8725999999999998</v>
      </c>
      <c r="G179" s="129"/>
      <c r="H179" s="129">
        <f>1.13272</f>
        <v>1.1327199999999999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0.55974</f>
        <v>0.55974000000000002</v>
      </c>
      <c r="F180" s="129">
        <f>2.8209</f>
        <v>2.8209</v>
      </c>
      <c r="G180" s="129"/>
      <c r="H180" s="129">
        <f>12.09767</f>
        <v>12.097670000000001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1.06156</f>
        <v>1.0615600000000001</v>
      </c>
      <c r="G181" s="194"/>
      <c r="H181" s="194">
        <f>4.15313</f>
        <v>4.15313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26.86167</v>
      </c>
      <c r="F184" s="196">
        <f>F175+F176+F177+F178+F182+F183</f>
        <v>507.84958</v>
      </c>
      <c r="G184" s="196">
        <f>D184-F184</f>
        <v>12227.15042</v>
      </c>
      <c r="H184" s="196">
        <f>H175+H176+H177+H178+H182+H183</f>
        <v>607.78711999999996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210.41647</f>
        <v>210.41647</v>
      </c>
      <c r="F204" s="124">
        <f>6027.05388</f>
        <v>6027.0538800000004</v>
      </c>
      <c r="G204" s="124">
        <f>D204-F204</f>
        <v>37811.946120000001</v>
      </c>
      <c r="H204" s="124">
        <f>3721.34525</f>
        <v>3721.3452499999999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0.1193</f>
        <v>0.1193</v>
      </c>
      <c r="F205" s="124">
        <f>0.86001</f>
        <v>0.86001000000000005</v>
      </c>
      <c r="G205" s="124">
        <f>D205-F205</f>
        <v>99.139989999999997</v>
      </c>
      <c r="H205" s="124">
        <f>9.4948</f>
        <v>9.4947999999999997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210.53577000000001</v>
      </c>
      <c r="F207" s="190">
        <f>SUM(F204:F206)</f>
        <v>6027.9138900000007</v>
      </c>
      <c r="G207" s="190">
        <f>D207-F207</f>
        <v>37953.086109999997</v>
      </c>
      <c r="H207" s="190">
        <f>SUM(H204:H206)</f>
        <v>3730.8400499999998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2.54795</f>
        <v>2.5479500000000002</v>
      </c>
      <c r="F258" s="124">
        <f>72.03046</f>
        <v>72.030460000000005</v>
      </c>
      <c r="G258" s="124">
        <f>D258-F258</f>
        <v>727.96954000000005</v>
      </c>
      <c r="H258" s="124">
        <f>36.21768</f>
        <v>36.217680000000001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29.2177</f>
        <v>29.217700000000001</v>
      </c>
      <c r="F259" s="124">
        <f>367.15624</f>
        <v>367.15624000000003</v>
      </c>
      <c r="G259" s="124">
        <f>D259-F259</f>
        <v>2126.8437599999997</v>
      </c>
      <c r="H259" s="124">
        <f>184.1924</f>
        <v>184.19239999999999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0.09004</f>
        <v>9.0039999999999995E-2</v>
      </c>
      <c r="G260" s="124">
        <f>D260-F260</f>
        <v>4.9099599999999999</v>
      </c>
      <c r="H260" s="168">
        <f>0.357</f>
        <v>0.35699999999999998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0.05522</f>
        <v>5.5219999999999998E-2</v>
      </c>
      <c r="F261" s="168">
        <f>0.19022</f>
        <v>0.19022</v>
      </c>
      <c r="G261" s="124"/>
      <c r="H261" s="168">
        <f>0.18256</f>
        <v>0.18256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31.820869999999999</v>
      </c>
      <c r="F262" s="190">
        <f>SUM(F258:F261)</f>
        <v>439.46696000000003</v>
      </c>
      <c r="G262" s="190">
        <f>D262-F262</f>
        <v>2859.5330399999998</v>
      </c>
      <c r="H262" s="190">
        <f>H258+H259+H260+H261</f>
        <v>220.94963999999999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233.10639</v>
      </c>
      <c r="G288" s="251">
        <f t="shared" si="14"/>
        <v>2446.7117600000001</v>
      </c>
      <c r="H288" s="251">
        <f>H292+H291+H290+H289</f>
        <v>13655.288239999998</v>
      </c>
      <c r="I288" s="251">
        <f t="shared" si="14"/>
        <v>589.11491999999998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1449.45394</f>
        <v>1449.4539400000001</v>
      </c>
      <c r="H289" s="255">
        <f t="shared" ref="H289:H293" si="15">E289-G289</f>
        <v>6727.5460599999997</v>
      </c>
      <c r="I289" s="255">
        <f>112.0851</f>
        <v>112.0851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432</f>
        <v>432</v>
      </c>
      <c r="H290" s="255">
        <f t="shared" si="15"/>
        <v>1696</v>
      </c>
      <c r="I290" s="255">
        <f>280.6002</f>
        <v>280.60019999999997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11.10654</f>
        <v>11.106540000000001</v>
      </c>
      <c r="G291" s="255">
        <f>321.44897</f>
        <v>321.44896999999997</v>
      </c>
      <c r="H291" s="255">
        <f t="shared" si="15"/>
        <v>1035.5510300000001</v>
      </c>
      <c r="I291" s="255">
        <f>190.21642</f>
        <v>190.21642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221.99985</f>
        <v>221.99985000000001</v>
      </c>
      <c r="G292" s="255">
        <f>243.80885</f>
        <v>243.80885000000001</v>
      </c>
      <c r="H292" s="255">
        <f t="shared" si="15"/>
        <v>4196.1911499999997</v>
      </c>
      <c r="I292" s="255">
        <f>6.2132</f>
        <v>6.2131999999999996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0.288</f>
        <v>0.28799999999999998</v>
      </c>
      <c r="G293" s="266">
        <f>19.006</f>
        <v>19.006</v>
      </c>
      <c r="H293" s="266">
        <f t="shared" si="15"/>
        <v>5480.9939999999997</v>
      </c>
      <c r="I293" s="266">
        <f>107.84302</f>
        <v>107.84302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17.284130000000001</v>
      </c>
      <c r="G294" s="267">
        <f>G296+G295</f>
        <v>1360.8158800000001</v>
      </c>
      <c r="H294" s="267">
        <f>E294-G294</f>
        <v>6639.1841199999999</v>
      </c>
      <c r="I294" s="267">
        <f>I296+I295</f>
        <v>1426.9818399999999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742.5736</f>
        <v>742.57360000000006</v>
      </c>
      <c r="H295" s="255"/>
      <c r="I295" s="255">
        <f>889.49831</f>
        <v>889.49830999999995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17.28413</f>
        <v>17.284130000000001</v>
      </c>
      <c r="G296" s="276">
        <f>618.24228</f>
        <v>618.24228000000005</v>
      </c>
      <c r="H296" s="276"/>
      <c r="I296" s="276">
        <f>537.48353</f>
        <v>537.48352999999997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0.0567</f>
        <v>5.67E-2</v>
      </c>
      <c r="H297" s="266">
        <f>E297-G297</f>
        <v>9.9433000000000007</v>
      </c>
      <c r="I297" s="266">
        <f>0.1377</f>
        <v>0.13769999999999999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0.5862</f>
        <v>0.58620000000000005</v>
      </c>
      <c r="G298" s="266">
        <f>2.5006</f>
        <v>2.5005999999999999</v>
      </c>
      <c r="H298" s="266">
        <f>E298-G298</f>
        <v>-2.5005999999999999</v>
      </c>
      <c r="I298" s="266">
        <f>12.38803</f>
        <v>12.388030000000001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251.26472000000001</v>
      </c>
      <c r="G299" s="285">
        <f t="shared" si="16"/>
        <v>3829.09094</v>
      </c>
      <c r="H299" s="285">
        <f>H288+H293+H294+H297+H298</f>
        <v>25782.909059999998</v>
      </c>
      <c r="I299" s="285">
        <f t="shared" si="16"/>
        <v>2136.46551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68.582999999999998</v>
      </c>
      <c r="F321" s="26">
        <f>F323+F322</f>
        <v>1582.1241500000001</v>
      </c>
      <c r="G321" s="87">
        <f>D321-F321</f>
        <v>658.8758499999999</v>
      </c>
      <c r="H321" s="26">
        <f>SUM(H322:H323)</f>
        <v>930.33952999999997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49.9155</f>
        <v>49.915500000000002</v>
      </c>
      <c r="F322" s="207">
        <f>1295.67055</f>
        <v>1295.67055</v>
      </c>
      <c r="G322" s="208"/>
      <c r="H322" s="207">
        <f>755.33775</f>
        <v>755.33775000000003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18.6675</f>
        <v>18.6675</v>
      </c>
      <c r="F323" s="210">
        <f>286.4536</f>
        <v>286.45359999999999</v>
      </c>
      <c r="G323" s="211"/>
      <c r="H323" s="210">
        <f>175.00178</f>
        <v>175.00178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68.582999999999998</v>
      </c>
      <c r="F331" s="42">
        <f>F321+F324+F327+F330</f>
        <v>1582.1241500000001</v>
      </c>
      <c r="G331" s="43">
        <f>SUM(G321:G330)</f>
        <v>1778.8758499999999</v>
      </c>
      <c r="H331" s="42">
        <f>H321+H324+H327+H330</f>
        <v>930.33952999999997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11&amp;R24.03.2023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2023-03-24T11:37:48Z</dcterms:modified>
</cp:coreProperties>
</file>