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7511583A-B2F7-4A34-9C42-47C70C9A22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H328" i="1"/>
  <c r="H327" i="1" s="1"/>
  <c r="F328" i="1"/>
  <c r="F327" i="1" s="1"/>
  <c r="G327" i="1" s="1"/>
  <c r="E328" i="1"/>
  <c r="E327" i="1"/>
  <c r="H326" i="1"/>
  <c r="F326" i="1"/>
  <c r="E326" i="1"/>
  <c r="H325" i="1"/>
  <c r="F325" i="1"/>
  <c r="F324" i="1" s="1"/>
  <c r="G324" i="1" s="1"/>
  <c r="E325" i="1"/>
  <c r="E324" i="1" s="1"/>
  <c r="H324" i="1"/>
  <c r="H323" i="1"/>
  <c r="F323" i="1"/>
  <c r="E323" i="1"/>
  <c r="E321" i="1" s="1"/>
  <c r="E331" i="1" s="1"/>
  <c r="H322" i="1"/>
  <c r="H321" i="1" s="1"/>
  <c r="H331" i="1" s="1"/>
  <c r="F322" i="1"/>
  <c r="E322" i="1"/>
  <c r="G321" i="1"/>
  <c r="G331" i="1" s="1"/>
  <c r="F321" i="1"/>
  <c r="I298" i="1"/>
  <c r="G298" i="1"/>
  <c r="H298" i="1" s="1"/>
  <c r="F298" i="1"/>
  <c r="I297" i="1"/>
  <c r="G297" i="1"/>
  <c r="H297" i="1" s="1"/>
  <c r="F297" i="1"/>
  <c r="I296" i="1"/>
  <c r="I294" i="1" s="1"/>
  <c r="G296" i="1"/>
  <c r="F296" i="1"/>
  <c r="F294" i="1" s="1"/>
  <c r="I295" i="1"/>
  <c r="G295" i="1"/>
  <c r="F295" i="1"/>
  <c r="H294" i="1"/>
  <c r="G294" i="1"/>
  <c r="I293" i="1"/>
  <c r="H293" i="1"/>
  <c r="G293" i="1"/>
  <c r="F293" i="1"/>
  <c r="I292" i="1"/>
  <c r="H292" i="1"/>
  <c r="H288" i="1" s="1"/>
  <c r="H299" i="1" s="1"/>
  <c r="G292" i="1"/>
  <c r="F292" i="1"/>
  <c r="I291" i="1"/>
  <c r="I288" i="1" s="1"/>
  <c r="I299" i="1" s="1"/>
  <c r="H291" i="1"/>
  <c r="G291" i="1"/>
  <c r="F291" i="1"/>
  <c r="F288" i="1" s="1"/>
  <c r="F299" i="1" s="1"/>
  <c r="I290" i="1"/>
  <c r="H290" i="1"/>
  <c r="G290" i="1"/>
  <c r="F290" i="1"/>
  <c r="I289" i="1"/>
  <c r="H289" i="1"/>
  <c r="G289" i="1"/>
  <c r="F289" i="1"/>
  <c r="G288" i="1"/>
  <c r="G299" i="1" s="1"/>
  <c r="E288" i="1"/>
  <c r="E299" i="1" s="1"/>
  <c r="D288" i="1"/>
  <c r="D299" i="1" s="1"/>
  <c r="H280" i="1"/>
  <c r="F280" i="1"/>
  <c r="D262" i="1"/>
  <c r="H261" i="1"/>
  <c r="F261" i="1"/>
  <c r="E261" i="1"/>
  <c r="H260" i="1"/>
  <c r="G260" i="1"/>
  <c r="F260" i="1"/>
  <c r="E260" i="1"/>
  <c r="H259" i="1"/>
  <c r="G259" i="1"/>
  <c r="F259" i="1"/>
  <c r="E259" i="1"/>
  <c r="H258" i="1"/>
  <c r="H262" i="1" s="1"/>
  <c r="G258" i="1"/>
  <c r="F258" i="1"/>
  <c r="F262" i="1" s="1"/>
  <c r="G262" i="1" s="1"/>
  <c r="E258" i="1"/>
  <c r="E262" i="1" s="1"/>
  <c r="D251" i="1"/>
  <c r="H207" i="1"/>
  <c r="D207" i="1"/>
  <c r="G207" i="1" s="1"/>
  <c r="G206" i="1"/>
  <c r="H205" i="1"/>
  <c r="F205" i="1"/>
  <c r="G205" i="1" s="1"/>
  <c r="E205" i="1"/>
  <c r="H204" i="1"/>
  <c r="F204" i="1"/>
  <c r="F207" i="1" s="1"/>
  <c r="E204" i="1"/>
  <c r="E207" i="1" s="1"/>
  <c r="D184" i="1"/>
  <c r="H182" i="1"/>
  <c r="G182" i="1"/>
  <c r="F182" i="1"/>
  <c r="E182" i="1"/>
  <c r="H181" i="1"/>
  <c r="F181" i="1"/>
  <c r="E181" i="1"/>
  <c r="H180" i="1"/>
  <c r="F180" i="1"/>
  <c r="F178" i="1" s="1"/>
  <c r="E180" i="1"/>
  <c r="H179" i="1"/>
  <c r="F179" i="1"/>
  <c r="E179" i="1"/>
  <c r="E178" i="1" s="1"/>
  <c r="H178" i="1"/>
  <c r="H177" i="1"/>
  <c r="G177" i="1"/>
  <c r="F177" i="1"/>
  <c r="E177" i="1"/>
  <c r="E184" i="1" s="1"/>
  <c r="H176" i="1"/>
  <c r="F176" i="1"/>
  <c r="E176" i="1"/>
  <c r="H175" i="1"/>
  <c r="H184" i="1" s="1"/>
  <c r="G175" i="1"/>
  <c r="F175" i="1"/>
  <c r="E175" i="1"/>
  <c r="D150" i="1"/>
  <c r="H147" i="1"/>
  <c r="H146" i="1"/>
  <c r="H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G139" i="1" s="1"/>
  <c r="G133" i="1" s="1"/>
  <c r="F140" i="1"/>
  <c r="F139" i="1" s="1"/>
  <c r="F133" i="1" s="1"/>
  <c r="I139" i="1"/>
  <c r="H139" i="1"/>
  <c r="E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H134" i="1"/>
  <c r="H133" i="1" s="1"/>
  <c r="G134" i="1"/>
  <c r="F134" i="1"/>
  <c r="E134" i="1"/>
  <c r="E133" i="1" s="1"/>
  <c r="I132" i="1"/>
  <c r="F132" i="1"/>
  <c r="H131" i="1"/>
  <c r="I130" i="1"/>
  <c r="H130" i="1"/>
  <c r="G130" i="1"/>
  <c r="F130" i="1"/>
  <c r="I129" i="1"/>
  <c r="I128" i="1" s="1"/>
  <c r="I150" i="1" s="1"/>
  <c r="H129" i="1"/>
  <c r="H128" i="1" s="1"/>
  <c r="G129" i="1"/>
  <c r="F129" i="1"/>
  <c r="G128" i="1"/>
  <c r="F128" i="1"/>
  <c r="F150" i="1" s="1"/>
  <c r="E128" i="1"/>
  <c r="E150" i="1" s="1"/>
  <c r="C126" i="1"/>
  <c r="D107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H97" i="1" s="1"/>
  <c r="F97" i="1"/>
  <c r="F96" i="1" s="1"/>
  <c r="F95" i="1" s="1"/>
  <c r="F107" i="1" s="1"/>
  <c r="E96" i="1"/>
  <c r="E95" i="1" s="1"/>
  <c r="E107" i="1" s="1"/>
  <c r="I94" i="1"/>
  <c r="H94" i="1"/>
  <c r="H92" i="1" s="1"/>
  <c r="G94" i="1"/>
  <c r="F94" i="1"/>
  <c r="I93" i="1"/>
  <c r="I92" i="1" s="1"/>
  <c r="I107" i="1" s="1"/>
  <c r="H93" i="1"/>
  <c r="G93" i="1"/>
  <c r="F93" i="1"/>
  <c r="G92" i="1"/>
  <c r="F92" i="1"/>
  <c r="C89" i="1"/>
  <c r="H85" i="1"/>
  <c r="F85" i="1"/>
  <c r="D85" i="1"/>
  <c r="G61" i="1"/>
  <c r="G60" i="1"/>
  <c r="H55" i="1"/>
  <c r="I32" i="1" s="1"/>
  <c r="I27" i="1" s="1"/>
  <c r="F55" i="1"/>
  <c r="G55" i="1" s="1"/>
  <c r="E55" i="1"/>
  <c r="F32" i="1" s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I34" i="1" s="1"/>
  <c r="G35" i="1"/>
  <c r="H35" i="1" s="1"/>
  <c r="F35" i="1"/>
  <c r="F34" i="1"/>
  <c r="E34" i="1"/>
  <c r="I33" i="1"/>
  <c r="H33" i="1"/>
  <c r="G33" i="1"/>
  <c r="F33" i="1"/>
  <c r="H32" i="1"/>
  <c r="G32" i="1"/>
  <c r="I31" i="1"/>
  <c r="H31" i="1"/>
  <c r="G31" i="1"/>
  <c r="F31" i="1"/>
  <c r="I30" i="1"/>
  <c r="H30" i="1"/>
  <c r="G30" i="1"/>
  <c r="F30" i="1"/>
  <c r="I29" i="1"/>
  <c r="H29" i="1"/>
  <c r="H27" i="1" s="1"/>
  <c r="G29" i="1"/>
  <c r="F29" i="1"/>
  <c r="I28" i="1"/>
  <c r="H28" i="1"/>
  <c r="G28" i="1"/>
  <c r="G27" i="1" s="1"/>
  <c r="F28" i="1"/>
  <c r="E27" i="1"/>
  <c r="E26" i="1"/>
  <c r="I25" i="1"/>
  <c r="G25" i="1"/>
  <c r="H25" i="1" s="1"/>
  <c r="F25" i="1"/>
  <c r="I24" i="1"/>
  <c r="I23" i="1" s="1"/>
  <c r="G24" i="1"/>
  <c r="H24" i="1" s="1"/>
  <c r="F24" i="1"/>
  <c r="F23" i="1" s="1"/>
  <c r="E23" i="1"/>
  <c r="E44" i="1" s="1"/>
  <c r="H16" i="1"/>
  <c r="F16" i="1"/>
  <c r="D16" i="1"/>
  <c r="G150" i="1" l="1"/>
  <c r="F184" i="1"/>
  <c r="G184" i="1" s="1"/>
  <c r="G178" i="1"/>
  <c r="F27" i="1"/>
  <c r="F26" i="1" s="1"/>
  <c r="G107" i="1"/>
  <c r="I26" i="1"/>
  <c r="I44" i="1" s="1"/>
  <c r="F331" i="1"/>
  <c r="H150" i="1"/>
  <c r="H23" i="1"/>
  <c r="F44" i="1"/>
  <c r="H96" i="1"/>
  <c r="H95" i="1" s="1"/>
  <c r="H107" i="1" s="1"/>
  <c r="G34" i="1"/>
  <c r="G26" i="1" s="1"/>
  <c r="G23" i="1"/>
  <c r="G44" i="1" s="1"/>
  <c r="G96" i="1"/>
  <c r="G95" i="1" s="1"/>
  <c r="G204" i="1"/>
  <c r="H34" i="1" l="1"/>
  <c r="H26" i="1" s="1"/>
  <c r="H44" i="1" s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<sst xmlns="http://schemas.openxmlformats.org/spreadsheetml/2006/main" count="328" uniqueCount="146">
  <si>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</si>
  <si>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</si>
  <si>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</si>
  <si>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</si>
  <si>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</si>
  <si>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</si>
  <si>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</si>
  <si>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</si>
  <si>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</si>
  <si>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</si>
  <si>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</si>
  <si>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</si>
  <si>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</si>
  <si>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</si>
  <si>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</si>
  <si>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</si>
  <si>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</si>
  <si>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</si>
  <si>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</si>
  <si>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</si>
  <si>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</si>
  <si>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</si>
  <si>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</si>
  <si>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</si>
  <si>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</si>
  <si>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</si>
  <si>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</si>
  <si>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</si>
  <si>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</si>
  <si>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</si>
  <si>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</si>
  <si>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</si>
  <si>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</si>
  <si>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</si>
  <si>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</si>
  <si>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</si>
  <si>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</si>
  <si>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</si>
  <si>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</si>
  <si>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</si>
  <si>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</si>
  <si>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</si>
  <si>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</si>
  <si>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</si>
  <si>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</si>
  <si>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</si>
  <si>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</si>
  <si>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</si>
  <si>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</si>
  <si>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</si>
  <si>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</si>
  <si>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</si>
  <si>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</si>
  <si>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</si>
  <si>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</si>
  <si>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</si>
  <si>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</si>
  <si>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</si>
  <si>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</si>
  <si>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</si>
  <si>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</si>
  <si>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</si>
  <si>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</si>
  <si>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</si>
  <si>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</si>
  <si>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</si>
  <si>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</si>
  <si>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</si>
  <si>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</si>
  <si>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</si>
  <si>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</si>
  <si>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</si>
  <si>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</si>
  <si>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</si>
  <si>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</si>
  <si>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</si>
  <si>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</si>
  <si>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</si>
  <si>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</si>
  <si>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</si>
  <si>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</si>
  <si>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</si>
  <si>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</si>
  <si>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</si>
  <si>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</si>
  <si>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</si>
  <si>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</si>
  <si>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</si>
  <si>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</si>
  <si>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</si>
  <si>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</si>
  <si>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</si>
  <si>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</si>
  <si>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</si>
  <si>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</si>
  <si>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</si>
  <si>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</si>
  <si>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</si>
  <si>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</si>
  <si>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</si>
  <si>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</si>
  <si>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</si>
  <si>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</si>
  <si>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</si>
  <si>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</si>
  <si>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</si>
  <si>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</si>
  <si>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</si>
  <si>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</si>
  <si>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</si>
  <si>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</si>
  <si>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</si>
  <si>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</si>
  <si>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</si>
  <si>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</si>
  <si>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</si>
  <si>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</si>
  <si>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</si>
  <si>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</si>
  <si>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</si>
  <si>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</si>
  <si>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</si>
  <si>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</si>
  <si>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</si>
  <si>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</si>
  <si>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</si>
  <si>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</si>
  <si>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</si>
  <si>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</si>
  <si>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</si>
  <si>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</si>
  <si>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</si>
  <si>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</si>
  <si>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</si>
  <si>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</si>
  <si>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</si>
  <si>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</si>
  <si>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</si>
  <si>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9</t>
  </si>
  <si>
    <t>FANGST T.O.M UKE 9</t>
  </si>
  <si>
    <t>RESTKVOTER UKE 9</t>
  </si>
  <si>
    <t>FANGST T.O.M UKE 9 2022</t>
  </si>
  <si>
    <r>
      <t xml:space="preserve">3 </t>
    </r>
    <r>
      <rPr>
        <sz val="9"/>
        <color indexed="8"/>
        <rFont val="Calibri"/>
        <family val="2"/>
      </rPr>
      <t>Registrert rekreasjonsfiske utgjør 110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</si>
  <si>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8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</si>
  <si>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56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</si>
  <si>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254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</si>
</sst>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84053</v>
      </c>
      <c r="F23" s="28">
        <f t="shared" si="0"/>
        <v>2730.6322500000001</v>
      </c>
      <c r="G23" s="28">
        <f t="shared" si="0"/>
        <v>22896.276470000001</v>
      </c>
      <c r="H23" s="11">
        <f t="shared" si="0"/>
        <v>61156.723529999996</v>
      </c>
      <c r="I23" s="11">
        <f t="shared" si="0"/>
        <v>29320.461510000001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83271</v>
      </c>
      <c r="F24" s="23">
        <f>2726.20275</f>
        <v>2726.2027499999999</v>
      </c>
      <c r="G24" s="23">
        <f>22840.85147</f>
        <v>22840.851470000001</v>
      </c>
      <c r="H24" s="23">
        <f>E24-G24</f>
        <v>60430.148529999999</v>
      </c>
      <c r="I24" s="23">
        <f>29271.73873</f>
        <v>29271.738730000001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4.4295</f>
        <v>4.4295</v>
      </c>
      <c r="G25" s="23">
        <f>55.425</f>
        <v>55.424999999999997</v>
      </c>
      <c r="H25" s="23">
        <f>E25-G25</f>
        <v>726.57500000000005</v>
      </c>
      <c r="I25" s="23">
        <f>48.72278</f>
        <v>48.72278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191675</v>
      </c>
      <c r="F26" s="28">
        <f t="shared" si="1"/>
        <v>6032.1459799999993</v>
      </c>
      <c r="G26" s="11">
        <f t="shared" si="1"/>
        <v>45098.978529999993</v>
      </c>
      <c r="H26" s="11">
        <f t="shared" si="1"/>
        <v>146576.02146999998</v>
      </c>
      <c r="I26" s="11">
        <f t="shared" si="1"/>
        <v>64986.741209999993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148041</v>
      </c>
      <c r="F27" s="134">
        <f>F28+F29+F30+F31+F32</f>
        <v>5026.7647099999995</v>
      </c>
      <c r="G27" s="134">
        <f t="shared" si="2"/>
        <v>35481.061459999997</v>
      </c>
      <c r="H27" s="134">
        <f t="shared" si="2"/>
        <v>112559.93853999999</v>
      </c>
      <c r="I27" s="134">
        <f t="shared" si="2"/>
        <v>54573.112869999997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38361</v>
      </c>
      <c r="F28" s="205">
        <f>999.33481</f>
        <v>999.33480999999995</v>
      </c>
      <c r="G28" s="129">
        <f>7549.74926 - F57</f>
        <v>7549.7492599999996</v>
      </c>
      <c r="H28" s="129">
        <f t="shared" ref="H28:H40" si="3">E28-G28</f>
        <v>30811.250739999999</v>
      </c>
      <c r="I28" s="129">
        <f>11841.43637 - H57</f>
        <v>11841.436369999999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39519</v>
      </c>
      <c r="F29" s="129">
        <f>1232.79137</f>
        <v>1232.7913699999999</v>
      </c>
      <c r="G29" s="129">
        <f>10731.20569 - F58</f>
        <v>10731.205690000001</v>
      </c>
      <c r="H29" s="129">
        <f t="shared" si="3"/>
        <v>28787.794309999997</v>
      </c>
      <c r="I29" s="129">
        <f>18304.92907 - H58</f>
        <v>18304.929069999998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36008</v>
      </c>
      <c r="F30" s="129">
        <f>1300.01231</f>
        <v>1300.0123100000001</v>
      </c>
      <c r="G30" s="129">
        <f>8614.86325 - F59</f>
        <v>8614.8632500000003</v>
      </c>
      <c r="H30" s="129">
        <f t="shared" si="3"/>
        <v>27393.136749999998</v>
      </c>
      <c r="I30" s="129">
        <f>13873.87678 - H59</f>
        <v>13873.876780000001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24489</v>
      </c>
      <c r="F31" s="129">
        <f>1494.62622</f>
        <v>1494.6262200000001</v>
      </c>
      <c r="G31" s="129">
        <f>8585.24326 - F60</f>
        <v>8585.2432599999993</v>
      </c>
      <c r="H31" s="129">
        <f t="shared" si="3"/>
        <v>15903.756740000001</v>
      </c>
      <c r="I31" s="129">
        <f>10552.87065 - H60</f>
        <v>10552.870650000001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22831</v>
      </c>
      <c r="F33" s="134">
        <f>481.37487</f>
        <v>481.37486999999999</v>
      </c>
      <c r="G33" s="134">
        <f>6316.13197</f>
        <v>6316.1319700000004</v>
      </c>
      <c r="H33" s="134">
        <f t="shared" si="3"/>
        <v>16514.868029999998</v>
      </c>
      <c r="I33" s="134">
        <f>6911.94864</f>
        <v>6911.9486399999996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20803</v>
      </c>
      <c r="F34" s="134">
        <f>F35+F36</f>
        <v>524.00639999999999</v>
      </c>
      <c r="G34" s="134">
        <f>G35+G36</f>
        <v>3301.7851000000001</v>
      </c>
      <c r="H34" s="134">
        <f t="shared" si="3"/>
        <v>17501.214899999999</v>
      </c>
      <c r="I34" s="134">
        <f>I35+I36</f>
        <v>3501.6797000000001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19603</v>
      </c>
      <c r="F35" s="129">
        <f>524.0064</f>
        <v>524.00639999999999</v>
      </c>
      <c r="G35" s="134">
        <f>3301.7851 - F61 - F62</f>
        <v>3301.7851000000001</v>
      </c>
      <c r="H35" s="129">
        <f t="shared" si="3"/>
        <v>16301.214899999999</v>
      </c>
      <c r="I35" s="129">
        <f>3501.6797 - H61 - H62</f>
        <v>3501.6797000000001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0</f>
        <v>0</v>
      </c>
      <c r="H37" s="141">
        <f t="shared" si="3"/>
        <v>3000</v>
      </c>
      <c r="I37" s="141">
        <f>30.67827</f>
        <v>30.678270000000001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14.81085</f>
        <v>14.81085</v>
      </c>
      <c r="G38" s="100">
        <f>75.14018</f>
        <v>75.140180000000001</v>
      </c>
      <c r="H38" s="100">
        <f t="shared" si="3"/>
        <v>775.85982000000001</v>
      </c>
      <c r="I38" s="100">
        <f>115.02534</f>
        <v>115.02534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0</v>
      </c>
      <c r="G39" s="100">
        <f>F61</f>
        <v>0</v>
      </c>
      <c r="H39" s="100">
        <f t="shared" si="3"/>
        <v>3048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19.0902</f>
        <v>19.090199999999999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290027</v>
      </c>
      <c r="F44" s="78">
        <f t="shared" si="4"/>
        <v>8796.6822800000009</v>
      </c>
      <c r="G44" s="78">
        <f t="shared" si="4"/>
        <v>75149.956180000023</v>
      </c>
      <c r="H44" s="78">
        <f t="shared" si="4"/>
        <v>214877.04381999996</v>
      </c>
      <c r="I44" s="78">
        <f t="shared" si="4"/>
        <v>101573.84475999998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33472</v>
      </c>
      <c r="E92" s="28">
        <v>36235</v>
      </c>
      <c r="F92" s="11">
        <f t="shared" ref="F92:I92" si="5">F94+F93</f>
        <v>1033.9349999999999</v>
      </c>
      <c r="G92" s="11">
        <f t="shared" si="5"/>
        <v>4863.6192799999999</v>
      </c>
      <c r="H92" s="11">
        <f t="shared" si="5"/>
        <v>31371.380720000001</v>
      </c>
      <c r="I92" s="11">
        <f t="shared" si="5"/>
        <v>10106.344650000001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32722</v>
      </c>
      <c r="E93" s="48">
        <v>35423</v>
      </c>
      <c r="F93" s="23">
        <f>1023.169</f>
        <v>1023.169</v>
      </c>
      <c r="G93" s="23">
        <f>4818.53648</f>
        <v>4818.5364799999998</v>
      </c>
      <c r="H93" s="23">
        <f>E93-G93</f>
        <v>30604.463520000001</v>
      </c>
      <c r="I93" s="23">
        <f>10058.57616</f>
        <v>10058.576160000001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10.766</f>
        <v>10.766</v>
      </c>
      <c r="G94" s="52">
        <f>45.0828</f>
        <v>45.082799999999999</v>
      </c>
      <c r="H94" s="52">
        <f>E94-G94</f>
        <v>766.91719999999998</v>
      </c>
      <c r="I94" s="52">
        <f>47.76849</f>
        <v>47.76849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56489</v>
      </c>
      <c r="E95" s="28">
        <f t="shared" ref="E95:I95" si="6">E96+E101+E102</f>
        <v>62139</v>
      </c>
      <c r="F95" s="11">
        <f t="shared" si="6"/>
        <v>542.72284999999999</v>
      </c>
      <c r="G95" s="11">
        <f t="shared" si="6"/>
        <v>6485.2223200000008</v>
      </c>
      <c r="H95" s="11">
        <f t="shared" si="6"/>
        <v>55653.777679999999</v>
      </c>
      <c r="I95" s="11">
        <f t="shared" si="6"/>
        <v>8646.2587700000004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42290</v>
      </c>
      <c r="E96" s="60">
        <f t="shared" ref="E96:I96" si="7">E97+E98+E99+E100</f>
        <v>46520</v>
      </c>
      <c r="F96" s="134">
        <f t="shared" si="7"/>
        <v>339.6764</v>
      </c>
      <c r="G96" s="134">
        <f t="shared" si="7"/>
        <v>3642.36445</v>
      </c>
      <c r="H96" s="134">
        <f t="shared" si="7"/>
        <v>42877.635549999999</v>
      </c>
      <c r="I96" s="134">
        <f t="shared" si="7"/>
        <v>5710.4812399999992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11327</v>
      </c>
      <c r="E97" s="65">
        <v>12460</v>
      </c>
      <c r="F97" s="129">
        <f>99.36776</f>
        <v>99.367760000000004</v>
      </c>
      <c r="G97" s="129">
        <f>1086.68851</f>
        <v>1086.68851</v>
      </c>
      <c r="H97" s="129">
        <f t="shared" ref="H97:H104" si="8">E97-G97</f>
        <v>11373.31149</v>
      </c>
      <c r="I97" s="129">
        <f>1247.17187</f>
        <v>1247.1718699999999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12171</v>
      </c>
      <c r="E98" s="65">
        <v>13388</v>
      </c>
      <c r="F98" s="129">
        <f>102.53357</f>
        <v>102.53357</v>
      </c>
      <c r="G98" s="129">
        <f>1315.70249</f>
        <v>1315.7024899999999</v>
      </c>
      <c r="H98" s="129">
        <f t="shared" si="8"/>
        <v>12072.29751</v>
      </c>
      <c r="I98" s="129">
        <f>2223.9278</f>
        <v>2223.9277999999999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11356</v>
      </c>
      <c r="E99" s="65">
        <v>12492</v>
      </c>
      <c r="F99" s="129">
        <f>83.37819</f>
        <v>83.378190000000004</v>
      </c>
      <c r="G99" s="129">
        <f>786.30594</f>
        <v>786.30593999999996</v>
      </c>
      <c r="H99" s="129">
        <f t="shared" si="8"/>
        <v>11705.69406</v>
      </c>
      <c r="I99" s="129">
        <f>1550.27949</f>
        <v>1550.2794899999999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7436</v>
      </c>
      <c r="E100" s="65">
        <v>8180</v>
      </c>
      <c r="F100" s="129">
        <f>54.39688</f>
        <v>54.396880000000003</v>
      </c>
      <c r="G100" s="129">
        <f>453.66751</f>
        <v>453.66750999999999</v>
      </c>
      <c r="H100" s="129">
        <f t="shared" si="8"/>
        <v>7726.3324899999998</v>
      </c>
      <c r="I100" s="129">
        <f>689.10208</f>
        <v>689.10208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9830</v>
      </c>
      <c r="E101" s="60">
        <v>10813</v>
      </c>
      <c r="F101" s="134">
        <f>165.82406</f>
        <v>165.82406</v>
      </c>
      <c r="G101" s="134">
        <f>2267.64396</f>
        <v>2267.6439599999999</v>
      </c>
      <c r="H101" s="134">
        <f t="shared" si="8"/>
        <v>8545.3560400000006</v>
      </c>
      <c r="I101" s="134">
        <f>2587.97282</f>
        <v>2587.97282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4369</v>
      </c>
      <c r="E102" s="63">
        <v>4806</v>
      </c>
      <c r="F102" s="77">
        <f>37.22239</f>
        <v>37.222389999999997</v>
      </c>
      <c r="G102" s="77">
        <f>575.21391</f>
        <v>575.21391000000006</v>
      </c>
      <c r="H102" s="77">
        <f t="shared" si="8"/>
        <v>4230.7860899999996</v>
      </c>
      <c r="I102" s="77">
        <f>347.80471</f>
        <v>347.80471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390</v>
      </c>
      <c r="E103" s="92">
        <v>390</v>
      </c>
      <c r="F103" s="100">
        <f>0.04316</f>
        <v>4.3159999999999997E-2</v>
      </c>
      <c r="G103" s="100">
        <f>0.34069</f>
        <v>0.34068999999999999</v>
      </c>
      <c r="H103" s="100">
        <f t="shared" si="8"/>
        <v>389.65931</v>
      </c>
      <c r="I103" s="100">
        <f>12.73863</f>
        <v>12.738630000000001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1.55701</f>
        <v>1.55701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90701</v>
      </c>
      <c r="E107" s="78">
        <f t="shared" ref="E107:I107" si="9">E92+E95+E103+E104+E105+E106</f>
        <v>99114</v>
      </c>
      <c r="F107" s="78">
        <f t="shared" si="9"/>
        <v>1578.25802</v>
      </c>
      <c r="G107" s="78">
        <f t="shared" si="9"/>
        <v>11657.950089999988</v>
      </c>
      <c r="H107" s="78">
        <f t="shared" si="9"/>
        <v>87456.049910000016</v>
      </c>
      <c r="I107" s="78">
        <f t="shared" si="9"/>
        <v>19109.076829999998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2590.0883999999996</v>
      </c>
      <c r="G128" s="11">
        <f t="shared" si="10"/>
        <v>21026.968580000001</v>
      </c>
      <c r="H128" s="11">
        <f t="shared" si="10"/>
        <v>49514.031419999999</v>
      </c>
      <c r="I128" s="11">
        <f t="shared" si="10"/>
        <v>14711.340479999999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2146.365</f>
        <v>2146.3649999999998</v>
      </c>
      <c r="G129" s="23">
        <f>18665.83883</f>
        <v>18665.838830000001</v>
      </c>
      <c r="H129" s="23">
        <f>E129-G129</f>
        <v>37426.161169999999</v>
      </c>
      <c r="I129" s="23">
        <f>11548.3288</f>
        <v>11548.328799999999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443.7234</f>
        <v>443.72340000000003</v>
      </c>
      <c r="G130" s="23">
        <f>2361.12975</f>
        <v>2361.1297500000001</v>
      </c>
      <c r="H130" s="23">
        <f>E130-G130</f>
        <v>11587.87025</v>
      </c>
      <c r="I130" s="23">
        <f>3163.01168</f>
        <v>3163.0116800000001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0.244</f>
        <v>0.24399999999999999</v>
      </c>
      <c r="G132" s="97">
        <f>11.11795+253.54738</f>
        <v>264.66532999999998</v>
      </c>
      <c r="H132" s="97">
        <f>E132-G132</f>
        <v>48907.334669999997</v>
      </c>
      <c r="I132" s="97">
        <f>40.023</f>
        <v>40.023000000000003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2567.1534000000001</v>
      </c>
      <c r="G133" s="96">
        <f t="shared" ref="G133" si="11">G134+G139+G142</f>
        <v>24528.155650000001</v>
      </c>
      <c r="H133" s="96">
        <f>H134+H139+H142</f>
        <v>56411.844349999999</v>
      </c>
      <c r="I133" s="96">
        <f>I134+I139+I142</f>
        <v>18776.944309999999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1841.90462</v>
      </c>
      <c r="G134" s="127">
        <f>G135+G136+G138+G137</f>
        <v>21721.475580000002</v>
      </c>
      <c r="H134" s="127">
        <f>H135+H136+H137+H138</f>
        <v>37782.524419999994</v>
      </c>
      <c r="I134" s="127">
        <f>I135+I136+I137+I138</f>
        <v>16739.694889999999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226.95423</f>
        <v>226.95423</v>
      </c>
      <c r="G135" s="129">
        <v>3599.2874900000002</v>
      </c>
      <c r="H135" s="129">
        <f>E135-G135</f>
        <v>13904.712509999999</v>
      </c>
      <c r="I135" s="129">
        <f>2521.79164</f>
        <v>2521.7916399999999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637.26537</f>
        <v>637.26536999999996</v>
      </c>
      <c r="G136" s="129">
        <v>6833.1529</v>
      </c>
      <c r="H136" s="129">
        <f>E136-G136</f>
        <v>8250.847099999999</v>
      </c>
      <c r="I136" s="129">
        <f>5505.04414</f>
        <v>5505.04414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543.40389</f>
        <v>543.40389000000005</v>
      </c>
      <c r="G137" s="129">
        <v>5279.8982800000003</v>
      </c>
      <c r="H137" s="129">
        <f>E137-G137</f>
        <v>9743.1017199999987</v>
      </c>
      <c r="I137" s="129">
        <f>4532.13912</f>
        <v>4532.1391199999998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434.28113</f>
        <v>434.28113000000002</v>
      </c>
      <c r="G138" s="129">
        <v>6009.1369100000002</v>
      </c>
      <c r="H138" s="129">
        <f>E138-G138</f>
        <v>5883.8630899999998</v>
      </c>
      <c r="I138" s="129">
        <f>4180.71999</f>
        <v>4180.7199899999996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561.92877999999996</v>
      </c>
      <c r="G139" s="134">
        <f>SUM(G140:G141)</f>
        <v>1538.2762400000001</v>
      </c>
      <c r="H139" s="134">
        <f>H140+H141</f>
        <v>7893.7237599999999</v>
      </c>
      <c r="I139" s="134">
        <f>SUM(I140:I141)</f>
        <v>1065.2892099999999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548.74198</f>
        <v>548.74198000000001</v>
      </c>
      <c r="G140" s="129">
        <f>1373.8449</f>
        <v>1373.8449000000001</v>
      </c>
      <c r="H140" s="129">
        <f t="shared" ref="H140:H147" si="12">E140-G140</f>
        <v>7558.1550999999999</v>
      </c>
      <c r="I140" s="129">
        <f>1017.74821</f>
        <v>1017.74821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13.1868</f>
        <v>13.1868</v>
      </c>
      <c r="G141" s="129">
        <f>164.43134</f>
        <v>164.43134000000001</v>
      </c>
      <c r="H141" s="129">
        <f t="shared" si="12"/>
        <v>335.56866000000002</v>
      </c>
      <c r="I141" s="129">
        <f>47.541</f>
        <v>47.540999999999997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163.32</f>
        <v>163.32</v>
      </c>
      <c r="G142" s="77">
        <f>1268.40383</f>
        <v>1268.40383</v>
      </c>
      <c r="H142" s="77">
        <f t="shared" si="12"/>
        <v>10735.596170000001</v>
      </c>
      <c r="I142" s="77">
        <f>971.96021</f>
        <v>971.96020999999996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0.40635</f>
        <v>0.40634999999999999</v>
      </c>
      <c r="G143" s="141">
        <f>2.04578</f>
        <v>2.0457800000000002</v>
      </c>
      <c r="H143" s="141">
        <f t="shared" si="12"/>
        <v>134.95421999999999</v>
      </c>
      <c r="I143" s="141">
        <f>9.85506</f>
        <v>9.8550599999999999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9.1443</f>
        <v>9.1442999999999994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5167.0364500000005</v>
      </c>
      <c r="G150" s="78">
        <f>G128+G132+G133+G143+G144+G145+G146+G147+G148</f>
        <v>47821.835340000005</v>
      </c>
      <c r="H150" s="78">
        <f>H128+H132+H133+H143+H144+H145+H146+H147+H148</f>
        <v>155413.16466000001</v>
      </c>
      <c r="I150" s="78">
        <f>I128+I132+I133+I143+I144+I145+I146+I147+I148</f>
        <v>35538.162850000001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144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30.74519</f>
        <v>30.745190000000001</v>
      </c>
      <c r="F175" s="274">
        <f>277.35436</f>
        <v>277.35435999999999</v>
      </c>
      <c r="G175" s="45">
        <f>D175-F175-F176</f>
        <v>4579.7808500000001</v>
      </c>
      <c r="H175" s="274">
        <f>203.71335</f>
        <v>203.71334999999999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8.94104</f>
        <v>8.9410399999999992</v>
      </c>
      <c r="F176" s="154">
        <f>130.86479</f>
        <v>130.86479</v>
      </c>
      <c r="G176" s="215"/>
      <c r="H176" s="154">
        <f>173.29509</f>
        <v>173.29508999999999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18.29706</f>
        <v>18.297059999999998</v>
      </c>
      <c r="G177" s="174">
        <f>D177-F177</f>
        <v>181.70294000000001</v>
      </c>
      <c r="H177" s="174">
        <f>8.80508</f>
        <v>8.8050800000000002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0.18271999999999999</v>
      </c>
      <c r="F178" s="183">
        <f>F179+F180+F181</f>
        <v>3.0936400000000002</v>
      </c>
      <c r="G178" s="183">
        <f>D178-F178</f>
        <v>7477.9063599999999</v>
      </c>
      <c r="H178" s="183">
        <f>H179+H180+H181</f>
        <v>11.736520000000002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0.04728</f>
        <v>4.7280000000000003E-2</v>
      </c>
      <c r="F179" s="129">
        <f>0.57148</f>
        <v>0.57147999999999999</v>
      </c>
      <c r="G179" s="129"/>
      <c r="H179" s="129">
        <f>0.59096</f>
        <v>0.59096000000000004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0.10112</f>
        <v>0.10112</v>
      </c>
      <c r="F180" s="129">
        <f>1.8962</f>
        <v>1.8962000000000001</v>
      </c>
      <c r="G180" s="129"/>
      <c r="H180" s="129">
        <f>8.51603</f>
        <v>8.5160300000000007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0.03432</f>
        <v>3.4320000000000003E-2</v>
      </c>
      <c r="F181" s="194">
        <f>0.62596</f>
        <v>0.62595999999999996</v>
      </c>
      <c r="G181" s="194"/>
      <c r="H181" s="194">
        <f>2.62953</f>
        <v>2.6295299999999999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39.868950000000005</v>
      </c>
      <c r="F184" s="196">
        <f>F175+F176+F177+F178+F182+F183</f>
        <v>429.60984999999999</v>
      </c>
      <c r="G184" s="196">
        <f>D184-F184</f>
        <v>12305.390149999999</v>
      </c>
      <c r="H184" s="196">
        <f>H175+H176+H177+H178+H182+H183</f>
        <v>397.55003999999991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637.32771</f>
        <v>637.32771000000002</v>
      </c>
      <c r="F204" s="124">
        <f>5800.186</f>
        <v>5800.1859999999997</v>
      </c>
      <c r="G204" s="124">
        <f>D204-F204</f>
        <v>38038.813999999998</v>
      </c>
      <c r="H204" s="124">
        <f>2920.71454</f>
        <v>2920.7145399999999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0.022</f>
        <v>2.1999999999999999E-2</v>
      </c>
      <c r="F205" s="124">
        <f>0.468</f>
        <v>0.46800000000000003</v>
      </c>
      <c r="G205" s="124">
        <f>D205-F205</f>
        <v>99.531999999999996</v>
      </c>
      <c r="H205" s="124">
        <f>1.0433</f>
        <v>1.0432999999999999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637.34971000000007</v>
      </c>
      <c r="F207" s="190">
        <f>SUM(F204:F206)</f>
        <v>5800.6539999999995</v>
      </c>
      <c r="G207" s="190">
        <f>D207-F207</f>
        <v>38180.345999999998</v>
      </c>
      <c r="H207" s="190">
        <f>SUM(H204:H206)</f>
        <v>2921.7578399999998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1.76587</f>
        <v>1.7658700000000001</v>
      </c>
      <c r="F258" s="124">
        <f>64.41133</f>
        <v>64.411330000000007</v>
      </c>
      <c r="G258" s="124">
        <f>D258-F258</f>
        <v>735.58866999999998</v>
      </c>
      <c r="H258" s="124">
        <f>31.06639</f>
        <v>31.066389999999998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10.72292</f>
        <v>10.72292</v>
      </c>
      <c r="F259" s="124">
        <f>321.2753</f>
        <v>321.27530000000002</v>
      </c>
      <c r="G259" s="124">
        <f>D259-F259</f>
        <v>2172.7246999999998</v>
      </c>
      <c r="H259" s="124">
        <f>166.54736</f>
        <v>166.54736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0.09004</f>
        <v>9.0039999999999995E-2</v>
      </c>
      <c r="G260" s="124">
        <f>D260-F260</f>
        <v>4.9099599999999999</v>
      </c>
      <c r="H260" s="168">
        <f>0.357</f>
        <v>0.35699999999999998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0.135</f>
        <v>0.13500000000000001</v>
      </c>
      <c r="F261" s="168">
        <f>0.135</f>
        <v>0.13500000000000001</v>
      </c>
      <c r="G261" s="124"/>
      <c r="H261" s="168">
        <f>0.18256</f>
        <v>0.18256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12.62379</v>
      </c>
      <c r="F262" s="190">
        <f>SUM(F258:F261)</f>
        <v>385.91167000000002</v>
      </c>
      <c r="G262" s="190">
        <f>D262-F262</f>
        <v>2913.08833</v>
      </c>
      <c r="H262" s="190">
        <f>H258+H259+H260+H261</f>
        <v>198.15330999999998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303.57963000000001</v>
      </c>
      <c r="G288" s="251">
        <f t="shared" si="14"/>
        <v>1895.1582900000001</v>
      </c>
      <c r="H288" s="251">
        <f>H292+H291+H290+H289</f>
        <v>14206.841710000001</v>
      </c>
      <c r="I288" s="251">
        <f t="shared" si="14"/>
        <v>547.43061999999998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1296.37994</f>
        <v>1296.37994</v>
      </c>
      <c r="H289" s="255">
        <f t="shared" ref="H289:H293" si="15">E289-G289</f>
        <v>6880.6200600000002</v>
      </c>
      <c r="I289" s="255">
        <f>112.0851</f>
        <v>112.0851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297</f>
        <v>297</v>
      </c>
      <c r="G290" s="255">
        <f>297</f>
        <v>297</v>
      </c>
      <c r="H290" s="255">
        <f t="shared" si="15"/>
        <v>1831</v>
      </c>
      <c r="I290" s="255">
        <f>280.6002</f>
        <v>280.60019999999997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5.67963</f>
        <v>5.6796300000000004</v>
      </c>
      <c r="G291" s="255">
        <f>282.62255</f>
        <v>282.62254999999999</v>
      </c>
      <c r="H291" s="255">
        <f t="shared" si="15"/>
        <v>1074.37745</v>
      </c>
      <c r="I291" s="255">
        <f>150.16772</f>
        <v>150.16772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0.9</f>
        <v>0.9</v>
      </c>
      <c r="G292" s="255">
        <f>19.1558</f>
        <v>19.155799999999999</v>
      </c>
      <c r="H292" s="255">
        <f t="shared" si="15"/>
        <v>4420.8441999999995</v>
      </c>
      <c r="I292" s="255">
        <f>4.5776</f>
        <v>4.5776000000000003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</f>
        <v>0</v>
      </c>
      <c r="G293" s="266">
        <f>18.501</f>
        <v>18.501000000000001</v>
      </c>
      <c r="H293" s="266">
        <f t="shared" si="15"/>
        <v>5481.4989999999998</v>
      </c>
      <c r="I293" s="266">
        <f>107.83502</f>
        <v>107.83502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13.398910000000001</v>
      </c>
      <c r="G294" s="267">
        <f>G296+G295</f>
        <v>1259.6703400000001</v>
      </c>
      <c r="H294" s="267">
        <f>E294-G294</f>
        <v>6740.3296599999994</v>
      </c>
      <c r="I294" s="267">
        <f>I296+I295</f>
        <v>1401.4675499999998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740.0167</f>
        <v>740.01670000000001</v>
      </c>
      <c r="H295" s="255"/>
      <c r="I295" s="255">
        <f>889.49831</f>
        <v>889.49830999999995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13.39891</f>
        <v>13.398910000000001</v>
      </c>
      <c r="G296" s="276">
        <f>519.65364</f>
        <v>519.65364</v>
      </c>
      <c r="H296" s="276"/>
      <c r="I296" s="276">
        <f>511.96924</f>
        <v>511.96924000000001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0.0567</f>
        <v>5.67E-2</v>
      </c>
      <c r="H297" s="266">
        <f>E297-G297</f>
        <v>9.9433000000000007</v>
      </c>
      <c r="I297" s="266">
        <f>0.1377</f>
        <v>0.13769999999999999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0.08292</f>
        <v>8.2919999999999994E-2</v>
      </c>
      <c r="G298" s="266">
        <f>1.2424</f>
        <v>1.2423999999999999</v>
      </c>
      <c r="H298" s="266">
        <f>E298-G298</f>
        <v>-1.2423999999999999</v>
      </c>
      <c r="I298" s="266">
        <f>12.11383</f>
        <v>12.11383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317.06146000000001</v>
      </c>
      <c r="G299" s="285">
        <f t="shared" si="16"/>
        <v>3174.6287300000004</v>
      </c>
      <c r="H299" s="285">
        <f>H288+H293+H294+H297+H298</f>
        <v>26437.37127</v>
      </c>
      <c r="I299" s="285">
        <f t="shared" si="16"/>
        <v>2068.9847199999999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159.98611</v>
      </c>
      <c r="F321" s="26">
        <f>F323+F322</f>
        <v>1334.2843600000001</v>
      </c>
      <c r="G321" s="87">
        <f>D321-F321</f>
        <v>906.71563999999989</v>
      </c>
      <c r="H321" s="26">
        <f>SUM(H322:H323)</f>
        <v>787.60593000000006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115.29281</f>
        <v>115.29281</v>
      </c>
      <c r="F322" s="207">
        <f>1106.13626</f>
        <v>1106.13626</v>
      </c>
      <c r="G322" s="208"/>
      <c r="H322" s="207">
        <f>655.90525</f>
        <v>655.90525000000002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44.6933</f>
        <v>44.693300000000001</v>
      </c>
      <c r="F323" s="210">
        <f>228.1481</f>
        <v>228.1481</v>
      </c>
      <c r="G323" s="211"/>
      <c r="H323" s="210">
        <f>131.70068</f>
        <v>131.70068000000001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159.98611</v>
      </c>
      <c r="F331" s="42">
        <f>F321+F324+F327+F330</f>
        <v>1334.2843600000001</v>
      </c>
      <c r="G331" s="43">
        <f>SUM(G321:G330)</f>
        <v>2026.7156399999999</v>
      </c>
      <c r="H331" s="42">
        <f>H321+H324+H327+H330</f>
        <v>787.60593000000006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
&amp;CPr. uke 9&amp;R08.03.2023</oddHeader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2023-03-08T11:18:47Z</dcterms:modified>
</cp:coreProperties>
</file>