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5\"/>
    </mc:Choice>
  </mc:AlternateContent>
  <xr:revisionPtr revIDLastSave="0" documentId="13_ncr:1_{A2620D73-48F4-4447-8A04-8E5BA76856A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H119" i="1" s="1"/>
  <c r="G125" i="1"/>
  <c r="G124" i="1"/>
  <c r="G123" i="1"/>
  <c r="H123" i="1" s="1"/>
  <c r="H345" i="1"/>
  <c r="F345" i="1"/>
  <c r="E345" i="1"/>
  <c r="D345" i="1"/>
  <c r="G344" i="1"/>
  <c r="G343" i="1"/>
  <c r="G345" i="1" s="1"/>
  <c r="E336" i="1"/>
  <c r="H324" i="1"/>
  <c r="G324" i="1"/>
  <c r="F324" i="1"/>
  <c r="E324" i="1"/>
  <c r="D324" i="1"/>
  <c r="H323" i="1"/>
  <c r="G323" i="1"/>
  <c r="F323" i="1"/>
  <c r="E323" i="1"/>
  <c r="H322" i="1"/>
  <c r="G322" i="1"/>
  <c r="F322" i="1"/>
  <c r="E322" i="1"/>
  <c r="E315" i="1"/>
  <c r="D304" i="1"/>
  <c r="H303" i="1"/>
  <c r="G303" i="1"/>
  <c r="F303" i="1"/>
  <c r="E303" i="1"/>
  <c r="H302" i="1"/>
  <c r="F302" i="1"/>
  <c r="E302" i="1"/>
  <c r="H301" i="1"/>
  <c r="F301" i="1"/>
  <c r="E301" i="1"/>
  <c r="H300" i="1"/>
  <c r="G300" i="1"/>
  <c r="F300" i="1"/>
  <c r="E300" i="1"/>
  <c r="H299" i="1"/>
  <c r="H297" i="1" s="1"/>
  <c r="F299" i="1"/>
  <c r="F297" i="1" s="1"/>
  <c r="G297" i="1" s="1"/>
  <c r="E299" i="1"/>
  <c r="H298" i="1"/>
  <c r="F298" i="1"/>
  <c r="E298" i="1"/>
  <c r="E297" i="1"/>
  <c r="H296" i="1"/>
  <c r="F296" i="1"/>
  <c r="E296" i="1"/>
  <c r="H295" i="1"/>
  <c r="H294" i="1" s="1"/>
  <c r="F295" i="1"/>
  <c r="F294" i="1" s="1"/>
  <c r="E295" i="1"/>
  <c r="E294" i="1" s="1"/>
  <c r="E304" i="1" s="1"/>
  <c r="I272" i="1"/>
  <c r="G272" i="1"/>
  <c r="H272" i="1" s="1"/>
  <c r="F272" i="1"/>
  <c r="I271" i="1"/>
  <c r="G271" i="1"/>
  <c r="H271" i="1" s="1"/>
  <c r="F271" i="1"/>
  <c r="I270" i="1"/>
  <c r="G270" i="1"/>
  <c r="F270" i="1"/>
  <c r="I269" i="1"/>
  <c r="G269" i="1"/>
  <c r="F269" i="1"/>
  <c r="F268" i="1" s="1"/>
  <c r="I268" i="1"/>
  <c r="G268" i="1"/>
  <c r="H268" i="1" s="1"/>
  <c r="I267" i="1"/>
  <c r="G267" i="1"/>
  <c r="H267" i="1" s="1"/>
  <c r="F267" i="1"/>
  <c r="I266" i="1"/>
  <c r="H266" i="1"/>
  <c r="G266" i="1"/>
  <c r="F266" i="1"/>
  <c r="I265" i="1"/>
  <c r="I262" i="1" s="1"/>
  <c r="I273" i="1" s="1"/>
  <c r="H265" i="1"/>
  <c r="H262" i="1" s="1"/>
  <c r="G265" i="1"/>
  <c r="G262" i="1" s="1"/>
  <c r="G273" i="1" s="1"/>
  <c r="F265" i="1"/>
  <c r="F262" i="1" s="1"/>
  <c r="I264" i="1"/>
  <c r="H264" i="1"/>
  <c r="G264" i="1"/>
  <c r="F264" i="1"/>
  <c r="I263" i="1"/>
  <c r="H263" i="1"/>
  <c r="G263" i="1"/>
  <c r="F263" i="1"/>
  <c r="E262" i="1"/>
  <c r="E273" i="1" s="1"/>
  <c r="D262" i="1"/>
  <c r="D273" i="1" s="1"/>
  <c r="H254" i="1"/>
  <c r="F254" i="1"/>
  <c r="D251" i="1"/>
  <c r="D250" i="1"/>
  <c r="D241" i="1"/>
  <c r="H240" i="1"/>
  <c r="F240" i="1"/>
  <c r="G240" i="1" s="1"/>
  <c r="E240" i="1"/>
  <c r="H239" i="1"/>
  <c r="G239" i="1"/>
  <c r="F239" i="1"/>
  <c r="E239" i="1"/>
  <c r="H238" i="1"/>
  <c r="F238" i="1"/>
  <c r="G238" i="1" s="1"/>
  <c r="E238" i="1"/>
  <c r="H237" i="1"/>
  <c r="H241" i="1" s="1"/>
  <c r="F237" i="1"/>
  <c r="F241" i="1" s="1"/>
  <c r="G241" i="1" s="1"/>
  <c r="E237" i="1"/>
  <c r="E241" i="1" s="1"/>
  <c r="D230" i="1"/>
  <c r="D219" i="1"/>
  <c r="H218" i="1"/>
  <c r="F218" i="1"/>
  <c r="G218" i="1" s="1"/>
  <c r="E218" i="1"/>
  <c r="H217" i="1"/>
  <c r="F217" i="1"/>
  <c r="E217" i="1"/>
  <c r="H216" i="1"/>
  <c r="F216" i="1"/>
  <c r="F215" i="1" s="1"/>
  <c r="E216" i="1"/>
  <c r="E215" i="1" s="1"/>
  <c r="E219" i="1" s="1"/>
  <c r="H215" i="1"/>
  <c r="H219" i="1" s="1"/>
  <c r="D206" i="1"/>
  <c r="H205" i="1"/>
  <c r="F205" i="1"/>
  <c r="G205" i="1" s="1"/>
  <c r="E205" i="1"/>
  <c r="H204" i="1"/>
  <c r="F204" i="1"/>
  <c r="F202" i="1" s="1"/>
  <c r="E204" i="1"/>
  <c r="E202" i="1" s="1"/>
  <c r="E206" i="1" s="1"/>
  <c r="H203" i="1"/>
  <c r="H202" i="1" s="1"/>
  <c r="H206" i="1" s="1"/>
  <c r="F203" i="1"/>
  <c r="E203" i="1"/>
  <c r="E192" i="1"/>
  <c r="D192" i="1"/>
  <c r="I191" i="1"/>
  <c r="H191" i="1"/>
  <c r="G191" i="1"/>
  <c r="F191" i="1"/>
  <c r="I190" i="1"/>
  <c r="H190" i="1"/>
  <c r="G190" i="1"/>
  <c r="F190" i="1"/>
  <c r="I189" i="1"/>
  <c r="I192" i="1" s="1"/>
  <c r="G189" i="1"/>
  <c r="H189" i="1" s="1"/>
  <c r="F189" i="1"/>
  <c r="F192" i="1" s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E163" i="1" s="1"/>
  <c r="H165" i="1"/>
  <c r="H163" i="1" s="1"/>
  <c r="F165" i="1"/>
  <c r="E165" i="1"/>
  <c r="H164" i="1"/>
  <c r="F164" i="1"/>
  <c r="F163" i="1" s="1"/>
  <c r="E164" i="1"/>
  <c r="H162" i="1"/>
  <c r="G162" i="1"/>
  <c r="F162" i="1"/>
  <c r="E162" i="1"/>
  <c r="E169" i="1" s="1"/>
  <c r="H161" i="1"/>
  <c r="F161" i="1"/>
  <c r="E161" i="1"/>
  <c r="H160" i="1"/>
  <c r="F160" i="1"/>
  <c r="G160" i="1" s="1"/>
  <c r="E160" i="1"/>
  <c r="D137" i="1"/>
  <c r="I135" i="1"/>
  <c r="H135" i="1"/>
  <c r="G135" i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H129" i="1"/>
  <c r="G129" i="1"/>
  <c r="F129" i="1"/>
  <c r="I128" i="1"/>
  <c r="G128" i="1"/>
  <c r="H128" i="1" s="1"/>
  <c r="F128" i="1"/>
  <c r="F126" i="1" s="1"/>
  <c r="I127" i="1"/>
  <c r="I126" i="1" s="1"/>
  <c r="H127" i="1"/>
  <c r="H126" i="1" s="1"/>
  <c r="G127" i="1"/>
  <c r="G126" i="1" s="1"/>
  <c r="F127" i="1"/>
  <c r="E126" i="1"/>
  <c r="D126" i="1"/>
  <c r="I125" i="1"/>
  <c r="H125" i="1"/>
  <c r="F125" i="1"/>
  <c r="I124" i="1"/>
  <c r="I121" i="1" s="1"/>
  <c r="I120" i="1" s="1"/>
  <c r="H124" i="1"/>
  <c r="F124" i="1"/>
  <c r="I123" i="1"/>
  <c r="F123" i="1"/>
  <c r="I122" i="1"/>
  <c r="G122" i="1"/>
  <c r="H122" i="1" s="1"/>
  <c r="F122" i="1"/>
  <c r="F121" i="1" s="1"/>
  <c r="F120" i="1" s="1"/>
  <c r="G121" i="1"/>
  <c r="G120" i="1" s="1"/>
  <c r="E121" i="1"/>
  <c r="E120" i="1" s="1"/>
  <c r="E137" i="1" s="1"/>
  <c r="D121" i="1"/>
  <c r="D120" i="1"/>
  <c r="I119" i="1"/>
  <c r="F119" i="1"/>
  <c r="I118" i="1"/>
  <c r="I115" i="1" s="1"/>
  <c r="H118" i="1"/>
  <c r="G118" i="1"/>
  <c r="F118" i="1"/>
  <c r="I117" i="1"/>
  <c r="H117" i="1"/>
  <c r="G117" i="1"/>
  <c r="F117" i="1"/>
  <c r="I116" i="1"/>
  <c r="G116" i="1"/>
  <c r="H116" i="1" s="1"/>
  <c r="H115" i="1" s="1"/>
  <c r="F116" i="1"/>
  <c r="F115" i="1" s="1"/>
  <c r="G115" i="1"/>
  <c r="E115" i="1"/>
  <c r="D115" i="1"/>
  <c r="C113" i="1"/>
  <c r="I93" i="1"/>
  <c r="G93" i="1"/>
  <c r="H93" i="1" s="1"/>
  <c r="F93" i="1"/>
  <c r="I92" i="1"/>
  <c r="G92" i="1"/>
  <c r="H92" i="1" s="1"/>
  <c r="F92" i="1"/>
  <c r="I91" i="1"/>
  <c r="G91" i="1"/>
  <c r="H91" i="1" s="1"/>
  <c r="F91" i="1"/>
  <c r="I90" i="1"/>
  <c r="G90" i="1"/>
  <c r="H90" i="1" s="1"/>
  <c r="F90" i="1"/>
  <c r="I89" i="1"/>
  <c r="H89" i="1"/>
  <c r="G89" i="1"/>
  <c r="F89" i="1"/>
  <c r="I88" i="1"/>
  <c r="H88" i="1"/>
  <c r="G88" i="1"/>
  <c r="F88" i="1"/>
  <c r="I87" i="1"/>
  <c r="G87" i="1"/>
  <c r="H87" i="1" s="1"/>
  <c r="F87" i="1"/>
  <c r="I86" i="1"/>
  <c r="I83" i="1" s="1"/>
  <c r="I82" i="1" s="1"/>
  <c r="G86" i="1"/>
  <c r="G83" i="1" s="1"/>
  <c r="G82" i="1" s="1"/>
  <c r="F86" i="1"/>
  <c r="F83" i="1" s="1"/>
  <c r="F82" i="1" s="1"/>
  <c r="I85" i="1"/>
  <c r="H85" i="1"/>
  <c r="G85" i="1"/>
  <c r="F85" i="1"/>
  <c r="I84" i="1"/>
  <c r="G84" i="1"/>
  <c r="H84" i="1" s="1"/>
  <c r="F84" i="1"/>
  <c r="E83" i="1"/>
  <c r="E82" i="1" s="1"/>
  <c r="E94" i="1" s="1"/>
  <c r="D83" i="1"/>
  <c r="D82" i="1" s="1"/>
  <c r="D94" i="1" s="1"/>
  <c r="I81" i="1"/>
  <c r="I79" i="1" s="1"/>
  <c r="I94" i="1" s="1"/>
  <c r="G81" i="1"/>
  <c r="G79" i="1" s="1"/>
  <c r="F81" i="1"/>
  <c r="F79" i="1" s="1"/>
  <c r="F94" i="1" s="1"/>
  <c r="I80" i="1"/>
  <c r="G80" i="1"/>
  <c r="H80" i="1" s="1"/>
  <c r="F80" i="1"/>
  <c r="E79" i="1"/>
  <c r="D79" i="1"/>
  <c r="C76" i="1"/>
  <c r="H72" i="1"/>
  <c r="F72" i="1"/>
  <c r="D72" i="1"/>
  <c r="H58" i="1"/>
  <c r="H57" i="1"/>
  <c r="I52" i="1"/>
  <c r="I31" i="1" s="1"/>
  <c r="G52" i="1"/>
  <c r="H52" i="1" s="1"/>
  <c r="F52" i="1"/>
  <c r="I41" i="1"/>
  <c r="G41" i="1"/>
  <c r="H41" i="1" s="1"/>
  <c r="F41" i="1"/>
  <c r="I40" i="1"/>
  <c r="H40" i="1"/>
  <c r="G40" i="1"/>
  <c r="F40" i="1"/>
  <c r="I39" i="1"/>
  <c r="H39" i="1"/>
  <c r="G39" i="1"/>
  <c r="F39" i="1"/>
  <c r="I38" i="1"/>
  <c r="G38" i="1"/>
  <c r="H38" i="1" s="1"/>
  <c r="F38" i="1"/>
  <c r="I37" i="1"/>
  <c r="G37" i="1"/>
  <c r="H37" i="1" s="1"/>
  <c r="F37" i="1"/>
  <c r="I36" i="1"/>
  <c r="H36" i="1"/>
  <c r="G36" i="1"/>
  <c r="F36" i="1"/>
  <c r="I35" i="1"/>
  <c r="I33" i="1" s="1"/>
  <c r="G35" i="1"/>
  <c r="H35" i="1" s="1"/>
  <c r="F35" i="1"/>
  <c r="I34" i="1"/>
  <c r="G34" i="1"/>
  <c r="G33" i="1" s="1"/>
  <c r="F34" i="1"/>
  <c r="F33" i="1" s="1"/>
  <c r="E33" i="1"/>
  <c r="D33" i="1"/>
  <c r="I32" i="1"/>
  <c r="G32" i="1"/>
  <c r="H32" i="1" s="1"/>
  <c r="F32" i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7" i="1"/>
  <c r="G27" i="1"/>
  <c r="H27" i="1" s="1"/>
  <c r="F27" i="1"/>
  <c r="E26" i="1"/>
  <c r="D26" i="1"/>
  <c r="E25" i="1"/>
  <c r="D25" i="1"/>
  <c r="I24" i="1"/>
  <c r="I22" i="1" s="1"/>
  <c r="H24" i="1"/>
  <c r="H22" i="1" s="1"/>
  <c r="G24" i="1"/>
  <c r="F24" i="1"/>
  <c r="I23" i="1"/>
  <c r="G23" i="1"/>
  <c r="H23" i="1" s="1"/>
  <c r="F23" i="1"/>
  <c r="G22" i="1"/>
  <c r="F22" i="1"/>
  <c r="E22" i="1"/>
  <c r="E42" i="1" s="1"/>
  <c r="D22" i="1"/>
  <c r="D42" i="1" s="1"/>
  <c r="H16" i="1"/>
  <c r="F16" i="1"/>
  <c r="D16" i="1"/>
  <c r="F26" i="1" l="1"/>
  <c r="F25" i="1" s="1"/>
  <c r="F42" i="1" s="1"/>
  <c r="G31" i="1"/>
  <c r="H31" i="1" s="1"/>
  <c r="G215" i="1"/>
  <c r="F219" i="1"/>
  <c r="G219" i="1" s="1"/>
  <c r="H121" i="1"/>
  <c r="H120" i="1" s="1"/>
  <c r="H26" i="1"/>
  <c r="I26" i="1"/>
  <c r="I25" i="1" s="1"/>
  <c r="I42" i="1" s="1"/>
  <c r="F169" i="1"/>
  <c r="G169" i="1" s="1"/>
  <c r="G163" i="1"/>
  <c r="I137" i="1"/>
  <c r="G294" i="1"/>
  <c r="F304" i="1"/>
  <c r="G304" i="1" s="1"/>
  <c r="H83" i="1"/>
  <c r="H82" i="1" s="1"/>
  <c r="F206" i="1"/>
  <c r="G202" i="1"/>
  <c r="H304" i="1"/>
  <c r="H169" i="1"/>
  <c r="F273" i="1"/>
  <c r="G137" i="1"/>
  <c r="G206" i="1"/>
  <c r="F137" i="1"/>
  <c r="H273" i="1"/>
  <c r="H33" i="1"/>
  <c r="H25" i="1" s="1"/>
  <c r="H42" i="1" s="1"/>
  <c r="G94" i="1"/>
  <c r="H137" i="1"/>
  <c r="H86" i="1"/>
  <c r="H34" i="1"/>
  <c r="G192" i="1"/>
  <c r="H192" i="1" s="1"/>
  <c r="H81" i="1"/>
  <c r="H79" i="1" s="1"/>
  <c r="G237" i="1"/>
  <c r="G26" i="1"/>
  <c r="G25" i="1" s="1"/>
  <c r="G42" i="1" s="1"/>
  <c r="H94" i="1" l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<sst xmlns="http://schemas.openxmlformats.org/spreadsheetml/2006/main" count="393" uniqueCount="167">
  <si>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</si>
  <si>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</si>
  <si>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</si>
  <si>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</si>
  <si>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</si>
  <si>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</si>
  <si>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</si>
  <si>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</si>
  <si>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</si>
  <si>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</si>
  <si>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</si>
  <si>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</si>
  <si>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</si>
  <si>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</si>
  <si>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</si>
  <si>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</si>
  <si>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</si>
  <si>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</si>
  <si>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</si>
  <si>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</si>
  <si>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</si>
  <si>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</si>
  <si>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</si>
  <si>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</si>
  <si>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</si>
  <si>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</si>
  <si>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</si>
  <si>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</si>
  <si>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</si>
  <si>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</si>
  <si>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</si>
  <si>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</si>
  <si>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</si>
  <si>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</si>
  <si>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</si>
  <si>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</si>
  <si>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</si>
  <si>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</si>
  <si>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</si>
  <si>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</si>
  <si>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</si>
  <si>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</si>
  <si>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</si>
  <si>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</si>
  <si>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</si>
  <si>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</si>
  <si>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</si>
  <si>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</si>
  <si>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</si>
  <si>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</si>
  <si>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</si>
  <si>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</si>
  <si>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</si>
  <si>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</si>
  <si>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</si>
  <si>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</si>
  <si>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</si>
  <si>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</si>
  <si>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</si>
  <si>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</si>
  <si>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</si>
  <si>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</si>
  <si>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</si>
  <si>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</si>
  <si>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</si>
  <si>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</si>
  <si>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</si>
  <si>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</si>
  <si>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</si>
  <si>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</si>
  <si>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</si>
  <si>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</si>
  <si>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</si>
  <si>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</si>
  <si>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</si>
  <si>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</si>
  <si>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</si>
  <si>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</si>
  <si>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</si>
  <si>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</si>
  <si>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</si>
  <si>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</si>
  <si>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</si>
  <si>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</si>
  <si>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</si>
  <si>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</si>
  <si>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</si>
  <si>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</si>
  <si>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</si>
  <si>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</si>
  <si>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</si>
  <si>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</si>
  <si>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</si>
  <si>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</si>
  <si>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</si>
  <si>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</si>
  <si>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</si>
  <si>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</si>
  <si>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</si>
  <si>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</si>
  <si>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</si>
  <si>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</si>
  <si>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</si>
  <si>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</si>
  <si>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</si>
  <si>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</si>
  <si>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</si>
  <si>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</si>
  <si>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</si>
  <si>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</si>
  <si>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</si>
  <si>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</si>
  <si>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</si>
  <si>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</si>
  <si>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</si>
  <si>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</si>
  <si>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</si>
  <si>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</si>
  <si>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</si>
  <si>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</si>
  <si>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</si>
  <si>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</si>
  <si>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</si>
  <si>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</si>
  <si>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</si>
  <si>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</si>
  <si>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</si>
  <si>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</si>
  <si>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</si>
  <si>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</si>
  <si>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</si>
  <si>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</si>
  <si>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</si>
  <si>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</si>
  <si>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</si>
  <si>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</si>
  <si>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</si>
  <si>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</si>
  <si>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</si>
  <si>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</si>
  <si>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</si>
  <si>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</si>
  <si>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</si>
  <si>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</si>
  <si>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</si>
  <si>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</si>
  <si>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</si>
  <si>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</si>
  <si>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</si>
  <si>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</si>
  <si>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</si>
  <si>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</si>
  <si>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</si>
  <si>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</si>
  <si>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</si>
  <si>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</si>
  <si>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t>Ferskfiskordning lukket gruppe</t>
  </si>
  <si>
    <t>STATISTIKK OM FERSKFISKORDNINGEN OG KYSTFISKEORDNINGEN</t>
  </si>
  <si>
    <t>2 Registrert rekreasjonsfiske utgjør 47 tonn, men det legges til grunn at hele avsetningen tas</t>
  </si>
  <si>
    <t>4 Registrert rekreasjonsfiske utgjør 343 tonn, men det legges til grunn at hele avsetningen tas</t>
  </si>
  <si>
    <t>3 Registrert rekreasjonsfiske utgjør 704 tonn, men det legges til grunn at hele avsetningen tas</t>
  </si>
  <si>
    <t>FANGST UKE 33</t>
  </si>
  <si>
    <t>FANGST T.O.M UKE 33</t>
  </si>
  <si>
    <t>RESTKVOTER UKE 33</t>
  </si>
  <si>
    <t>FANGST T.O.M UKE 33 2024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</si>
  <si>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kystfiskeordningen baseres på beregninger fra Norges Råfisklag. Tall for ferskfiskordningen for åpen gruppe mangler for uke 33.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</si>
  <si>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2 137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</si>
</sst>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view="pageLayout" zoomScale="85" zoomScaleNormal="100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13" t="s">
        <v>120</v>
      </c>
      <c r="C2" s="314"/>
      <c r="D2" s="314"/>
      <c r="E2" s="314"/>
      <c r="F2" s="314"/>
      <c r="G2" s="314"/>
      <c r="H2" s="314"/>
      <c r="I2" s="314"/>
      <c r="J2" s="315"/>
    </row>
    <row r="3" spans="1:10" ht="14.85" customHeight="1" x14ac:dyDescent="0.2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2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" customHeight="1" x14ac:dyDescent="0.2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2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2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2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" customHeight="1" x14ac:dyDescent="0.2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25">
      <c r="A17" s="101"/>
      <c r="B17" s="24"/>
      <c r="C17" s="325" t="s">
        <v>140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2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2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2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1"/>
    </row>
    <row r="22" spans="1:10" ht="14.1" customHeight="1" x14ac:dyDescent="0.2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29.032499999999999</v>
      </c>
      <c r="G22" s="27">
        <f t="shared" si="0"/>
        <v>21135.9162</v>
      </c>
      <c r="H22" s="10">
        <f t="shared" si="0"/>
        <v>20450.0838</v>
      </c>
      <c r="I22" s="10">
        <f t="shared" si="0"/>
        <v>38232.138010000002</v>
      </c>
      <c r="J22" s="267"/>
    </row>
    <row r="23" spans="1:10" ht="14.1" customHeight="1" x14ac:dyDescent="0.25">
      <c r="A23" s="1"/>
      <c r="B23" s="277"/>
      <c r="C23" s="43" t="s">
        <v>20</v>
      </c>
      <c r="D23" s="44">
        <v>38040</v>
      </c>
      <c r="E23" s="44">
        <v>40823</v>
      </c>
      <c r="F23" s="22">
        <f>29.0325</f>
        <v>29.032499999999999</v>
      </c>
      <c r="G23" s="22">
        <f>20765.21655</f>
        <v>20765.216550000001</v>
      </c>
      <c r="H23" s="22">
        <f>E23-G23</f>
        <v>20057.783449999999</v>
      </c>
      <c r="I23" s="22">
        <f>37711.86493</f>
        <v>37711.864930000003</v>
      </c>
      <c r="J23" s="267"/>
    </row>
    <row r="24" spans="1:10" ht="14.1" customHeight="1" x14ac:dyDescent="0.25">
      <c r="A24" s="1"/>
      <c r="B24" s="277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370.69965</f>
        <v>370.69965000000002</v>
      </c>
      <c r="H24" s="22">
        <f>E24-G24</f>
        <v>392.30034999999998</v>
      </c>
      <c r="I24" s="22">
        <f>520.27308</f>
        <v>520.27308000000005</v>
      </c>
      <c r="J24" s="267"/>
    </row>
    <row r="25" spans="1:10" ht="14.1" customHeight="1" x14ac:dyDescent="0.2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694.83829000000003</v>
      </c>
      <c r="G25" s="10">
        <f t="shared" si="1"/>
        <v>104081.88040000001</v>
      </c>
      <c r="H25" s="10">
        <f t="shared" si="1"/>
        <v>17586.119600000002</v>
      </c>
      <c r="I25" s="10">
        <f t="shared" si="1"/>
        <v>123905.30539000001</v>
      </c>
      <c r="J25" s="267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512.12390000000005</v>
      </c>
      <c r="G26" s="129">
        <f>G27+G28+G29+G30+G31</f>
        <v>81631.99328000001</v>
      </c>
      <c r="H26" s="129">
        <f t="shared" ref="H26:I26" si="2">H27+H28+H29+H30+H31</f>
        <v>13261.006720000001</v>
      </c>
      <c r="I26" s="129">
        <f t="shared" si="2"/>
        <v>98049.480670000004</v>
      </c>
      <c r="J26" s="267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61">
        <v>25153</v>
      </c>
      <c r="F27" s="209">
        <f>75.61387 - F55</f>
        <v>-5.3861299999999943</v>
      </c>
      <c r="G27" s="123">
        <f>22871.61353 - G55</f>
        <v>22180.613529999999</v>
      </c>
      <c r="H27" s="123">
        <f t="shared" ref="H27:H39" si="3">E27-G27</f>
        <v>2972.3864700000013</v>
      </c>
      <c r="I27" s="123">
        <f>26166.68959 - I55</f>
        <v>25113.689590000002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61">
        <v>23994</v>
      </c>
      <c r="F28" s="123">
        <f>153.19036 - F56</f>
        <v>95.190359999999998</v>
      </c>
      <c r="G28" s="123">
        <f>22630.85784 - G56</f>
        <v>22097.857840000001</v>
      </c>
      <c r="H28" s="123">
        <f t="shared" si="3"/>
        <v>1896.1421599999994</v>
      </c>
      <c r="I28" s="123">
        <f>27910.0639 - I56</f>
        <v>27120.063900000001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61">
        <v>21870</v>
      </c>
      <c r="F29" s="123">
        <f>108.41308 - F57</f>
        <v>108.41307999999999</v>
      </c>
      <c r="G29" s="123">
        <f>21667.77044 - G57</f>
        <v>21667.77044</v>
      </c>
      <c r="H29" s="123">
        <f t="shared" si="3"/>
        <v>202.22955999999976</v>
      </c>
      <c r="I29" s="123">
        <f>26396.93429 - I57</f>
        <v>26054.934290000001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61">
        <v>15645</v>
      </c>
      <c r="F30" s="123">
        <f>99.90659 - F58</f>
        <v>64.906589999999994</v>
      </c>
      <c r="G30" s="123">
        <f>15765.75147 - G58</f>
        <v>13736.751469999999</v>
      </c>
      <c r="H30" s="123">
        <f t="shared" si="3"/>
        <v>1908.2485300000008</v>
      </c>
      <c r="I30" s="123">
        <f>19426.79289 - I58</f>
        <v>16637.792890000001</v>
      </c>
      <c r="J30" s="63"/>
    </row>
    <row r="31" spans="1:10" ht="14.1" customHeight="1" x14ac:dyDescent="0.25">
      <c r="A31" s="192"/>
      <c r="B31" s="176"/>
      <c r="C31" s="60" t="s">
        <v>156</v>
      </c>
      <c r="D31" s="61">
        <v>7872</v>
      </c>
      <c r="E31" s="61">
        <v>8231</v>
      </c>
      <c r="F31" s="123">
        <f>F52</f>
        <v>249</v>
      </c>
      <c r="G31" s="123">
        <f>G52</f>
        <v>1949</v>
      </c>
      <c r="H31" s="123">
        <f>E31-G31</f>
        <v>6282</v>
      </c>
      <c r="I31" s="123">
        <f>I52</f>
        <v>3123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12692</v>
      </c>
      <c r="E32" s="55">
        <v>13679</v>
      </c>
      <c r="F32" s="129">
        <f>130.31606</f>
        <v>130.31605999999999</v>
      </c>
      <c r="G32" s="129">
        <f>9236.82475</f>
        <v>9236.8247499999998</v>
      </c>
      <c r="H32" s="129">
        <f t="shared" si="3"/>
        <v>4442.1752500000002</v>
      </c>
      <c r="I32" s="129">
        <f>10797.6882</f>
        <v>10797.688200000001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10834</v>
      </c>
      <c r="E33" s="55">
        <f>E34+E35</f>
        <v>13096</v>
      </c>
      <c r="F33" s="129">
        <f>F34+F35</f>
        <v>52.398330000000001</v>
      </c>
      <c r="G33" s="129">
        <f>G34+G35</f>
        <v>13213.06237</v>
      </c>
      <c r="H33" s="129">
        <f t="shared" si="3"/>
        <v>-117.06236999999965</v>
      </c>
      <c r="I33" s="129">
        <f>I34+I35</f>
        <v>15058.13652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9874</v>
      </c>
      <c r="E34" s="61">
        <v>12136</v>
      </c>
      <c r="F34" s="123">
        <f>52.39833 - F59 - F60</f>
        <v>52.398330000000001</v>
      </c>
      <c r="G34" s="129">
        <f>13213.06237 - G59 - G60</f>
        <v>13213.06237</v>
      </c>
      <c r="H34" s="123">
        <f t="shared" si="3"/>
        <v>-1077.0623699999996</v>
      </c>
      <c r="I34" s="123">
        <f>14716.13652 - I59 - I60</f>
        <v>14716.13652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342</v>
      </c>
      <c r="J35" s="63"/>
    </row>
    <row r="36" spans="1:10" ht="15.75" customHeight="1" x14ac:dyDescent="0.2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" customHeight="1" x14ac:dyDescent="0.25">
      <c r="A37" s="1"/>
      <c r="B37" s="277"/>
      <c r="C37" s="70" t="s">
        <v>33</v>
      </c>
      <c r="D37" s="140">
        <v>855</v>
      </c>
      <c r="E37" s="140">
        <v>855</v>
      </c>
      <c r="F37" s="95">
        <f>0</f>
        <v>0</v>
      </c>
      <c r="G37" s="95">
        <f>568.57131</f>
        <v>568.57131000000004</v>
      </c>
      <c r="H37" s="95">
        <f t="shared" si="3"/>
        <v>286.42868999999996</v>
      </c>
      <c r="I37" s="95">
        <f>471.27873</f>
        <v>471.27873</v>
      </c>
      <c r="J37" s="267"/>
    </row>
    <row r="38" spans="1:10" ht="17.25" customHeight="1" x14ac:dyDescent="0.2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35</v>
      </c>
      <c r="G38" s="95">
        <f>G58</f>
        <v>2029</v>
      </c>
      <c r="H38" s="95">
        <f t="shared" si="3"/>
        <v>971</v>
      </c>
      <c r="I38" s="95">
        <f>I58</f>
        <v>2789</v>
      </c>
      <c r="J38" s="267"/>
    </row>
    <row r="39" spans="1:10" ht="17.25" customHeight="1" x14ac:dyDescent="0.25">
      <c r="A39" s="1"/>
      <c r="B39" s="277"/>
      <c r="C39" s="70" t="s">
        <v>35</v>
      </c>
      <c r="D39" s="140">
        <v>7000</v>
      </c>
      <c r="E39" s="140">
        <v>7000</v>
      </c>
      <c r="F39" s="95">
        <f>16.82638</f>
        <v>16.82638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25">
      <c r="A40" s="1"/>
      <c r="B40" s="277"/>
      <c r="C40" s="70" t="s">
        <v>37</v>
      </c>
      <c r="D40" s="140">
        <v>450</v>
      </c>
      <c r="E40" s="140">
        <v>450</v>
      </c>
      <c r="F40" s="95">
        <f>1.679</f>
        <v>1.679</v>
      </c>
      <c r="G40" s="95">
        <f>380.72374</f>
        <v>380.72374000000002</v>
      </c>
      <c r="H40" s="95">
        <f>E40-G40</f>
        <v>69.276259999999979</v>
      </c>
      <c r="I40" s="95">
        <f>333.18521</f>
        <v>333.18520999999998</v>
      </c>
      <c r="J40" s="267"/>
    </row>
    <row r="41" spans="1:10" ht="14.1" customHeight="1" x14ac:dyDescent="0.25">
      <c r="A41" s="1"/>
      <c r="B41" s="277"/>
      <c r="C41" s="70" t="s">
        <v>38</v>
      </c>
      <c r="D41" s="140"/>
      <c r="E41" s="136"/>
      <c r="F41" s="136">
        <f>0</f>
        <v>0</v>
      </c>
      <c r="G41" s="136">
        <f>101.49863</f>
        <v>101.49863000000001</v>
      </c>
      <c r="H41" s="136">
        <f t="shared" ref="H41" si="4">E41-G41</f>
        <v>-101.49863000000001</v>
      </c>
      <c r="I41" s="136">
        <f>85.52126</f>
        <v>85.521259999999998</v>
      </c>
      <c r="J41" s="267"/>
    </row>
    <row r="42" spans="1:10" ht="16.5" customHeight="1" x14ac:dyDescent="0.2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777.37617</v>
      </c>
      <c r="G42" s="73">
        <f t="shared" si="5"/>
        <v>135577.84667999996</v>
      </c>
      <c r="H42" s="73">
        <f t="shared" si="5"/>
        <v>39981.153319999998</v>
      </c>
      <c r="I42" s="73">
        <f t="shared" si="5"/>
        <v>173164.78980000003</v>
      </c>
      <c r="J42" s="267"/>
    </row>
    <row r="43" spans="1:10" ht="14.1" customHeight="1" x14ac:dyDescent="0.2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" customHeight="1" x14ac:dyDescent="0.25">
      <c r="A44" s="101"/>
      <c r="B44" s="24"/>
      <c r="C44" s="78" t="s">
        <v>165</v>
      </c>
      <c r="D44" s="216"/>
      <c r="E44" s="216"/>
      <c r="F44" s="216"/>
      <c r="G44" s="76"/>
      <c r="H44" s="173"/>
      <c r="I44" s="173"/>
      <c r="J44" s="267"/>
    </row>
    <row r="45" spans="1:10" ht="14.1" customHeight="1" x14ac:dyDescent="0.2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25">
      <c r="A49" s="101"/>
      <c r="B49" s="24"/>
      <c r="C49" s="328" t="s">
        <v>157</v>
      </c>
      <c r="D49" s="328"/>
      <c r="E49" s="328"/>
      <c r="F49" s="328"/>
      <c r="G49" s="328"/>
      <c r="H49" s="328"/>
      <c r="I49" s="80"/>
      <c r="J49" s="81"/>
    </row>
    <row r="50" spans="1:10" ht="16.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67"/>
    </row>
    <row r="52" spans="1:10" ht="14.1" customHeight="1" x14ac:dyDescent="0.25">
      <c r="A52" s="101"/>
      <c r="B52" s="24"/>
      <c r="C52" s="15" t="s">
        <v>42</v>
      </c>
      <c r="D52" s="329">
        <v>7872</v>
      </c>
      <c r="E52" s="329">
        <v>8231</v>
      </c>
      <c r="F52" s="10">
        <f>F56+F55+F54+F53</f>
        <v>249</v>
      </c>
      <c r="G52" s="10">
        <f>G56+G55+G54+G53</f>
        <v>1949</v>
      </c>
      <c r="H52" s="329">
        <f>E52-G52</f>
        <v>6282</v>
      </c>
      <c r="I52" s="10">
        <f>I56+I55+I54+I53</f>
        <v>3123</v>
      </c>
      <c r="J52" s="117"/>
    </row>
    <row r="53" spans="1:10" ht="14.1" customHeight="1" x14ac:dyDescent="0.25">
      <c r="A53" s="101"/>
      <c r="B53" s="24"/>
      <c r="C53" s="60" t="s">
        <v>24</v>
      </c>
      <c r="D53" s="330"/>
      <c r="E53" s="330"/>
      <c r="F53" s="123">
        <v>40</v>
      </c>
      <c r="G53" s="123">
        <v>269</v>
      </c>
      <c r="H53" s="330"/>
      <c r="I53" s="123">
        <v>502</v>
      </c>
      <c r="J53" s="117"/>
    </row>
    <row r="54" spans="1:10" ht="14.1" customHeight="1" x14ac:dyDescent="0.25">
      <c r="A54" s="101"/>
      <c r="B54" s="24"/>
      <c r="C54" s="60" t="s">
        <v>25</v>
      </c>
      <c r="D54" s="330"/>
      <c r="E54" s="330"/>
      <c r="F54" s="123">
        <v>70</v>
      </c>
      <c r="G54" s="123">
        <v>456</v>
      </c>
      <c r="H54" s="330"/>
      <c r="I54" s="123">
        <v>778</v>
      </c>
      <c r="J54" s="267"/>
    </row>
    <row r="55" spans="1:10" ht="14.1" customHeight="1" x14ac:dyDescent="0.25">
      <c r="A55" s="101"/>
      <c r="B55" s="24"/>
      <c r="C55" s="60" t="s">
        <v>26</v>
      </c>
      <c r="D55" s="330"/>
      <c r="E55" s="330"/>
      <c r="F55" s="123">
        <v>81</v>
      </c>
      <c r="G55" s="123">
        <v>691</v>
      </c>
      <c r="H55" s="330"/>
      <c r="I55" s="123">
        <v>1053</v>
      </c>
      <c r="J55" s="117"/>
    </row>
    <row r="56" spans="1:10" ht="14.1" customHeight="1" x14ac:dyDescent="0.25">
      <c r="A56" s="101"/>
      <c r="B56" s="24"/>
      <c r="C56" s="84" t="s">
        <v>27</v>
      </c>
      <c r="D56" s="331"/>
      <c r="E56" s="331"/>
      <c r="F56" s="186">
        <v>58</v>
      </c>
      <c r="G56" s="186">
        <v>533</v>
      </c>
      <c r="H56" s="331"/>
      <c r="I56" s="186">
        <v>790</v>
      </c>
      <c r="J56" s="117"/>
    </row>
    <row r="57" spans="1:10" ht="14.1" customHeight="1" x14ac:dyDescent="0.25">
      <c r="A57" s="101"/>
      <c r="B57" s="24"/>
      <c r="C57" s="85" t="s">
        <v>43</v>
      </c>
      <c r="D57" s="92">
        <v>960</v>
      </c>
      <c r="E57" s="92">
        <v>960</v>
      </c>
      <c r="F57" s="92"/>
      <c r="G57" s="92"/>
      <c r="H57" s="92">
        <f>E57-G57</f>
        <v>960</v>
      </c>
      <c r="I57" s="92">
        <v>342</v>
      </c>
      <c r="J57" s="267"/>
    </row>
    <row r="58" spans="1:10" ht="14.1" customHeight="1" x14ac:dyDescent="0.25">
      <c r="A58" s="101"/>
      <c r="B58" s="24"/>
      <c r="C58" s="139" t="s">
        <v>44</v>
      </c>
      <c r="D58" s="136">
        <v>3000</v>
      </c>
      <c r="E58" s="136">
        <v>3000</v>
      </c>
      <c r="F58" s="136">
        <v>35</v>
      </c>
      <c r="G58" s="136">
        <v>2029</v>
      </c>
      <c r="H58" s="136">
        <f>E58-G58</f>
        <v>971</v>
      </c>
      <c r="I58" s="136">
        <v>2789</v>
      </c>
      <c r="J58" s="117"/>
    </row>
    <row r="59" spans="1:10" ht="14.1" customHeight="1" x14ac:dyDescent="0.2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2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2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" customHeight="1" x14ac:dyDescent="0.2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2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2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2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" customHeight="1" x14ac:dyDescent="0.2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2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2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" customHeight="1" x14ac:dyDescent="0.2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0</v>
      </c>
      <c r="G79" s="10">
        <f t="shared" si="6"/>
        <v>19612.403999999999</v>
      </c>
      <c r="H79" s="10">
        <f t="shared" si="6"/>
        <v>6528.5960000000014</v>
      </c>
      <c r="I79" s="10">
        <f t="shared" si="6"/>
        <v>23334.104480000002</v>
      </c>
      <c r="J79" s="267"/>
    </row>
    <row r="80" spans="1:10" ht="15" customHeight="1" x14ac:dyDescent="0.25">
      <c r="A80" s="1"/>
      <c r="B80" s="277"/>
      <c r="C80" s="43" t="s">
        <v>20</v>
      </c>
      <c r="D80" s="44">
        <v>24216</v>
      </c>
      <c r="E80" s="44">
        <v>25316</v>
      </c>
      <c r="F80" s="22">
        <f>0</f>
        <v>0</v>
      </c>
      <c r="G80" s="22">
        <f>19175.24098</f>
        <v>19175.240979999999</v>
      </c>
      <c r="H80" s="22">
        <f>E80-G80</f>
        <v>6140.7590200000013</v>
      </c>
      <c r="I80" s="22">
        <f>22554.88723</f>
        <v>22554.88723</v>
      </c>
      <c r="J80" s="267"/>
    </row>
    <row r="81" spans="1:10" ht="14.1" customHeight="1" x14ac:dyDescent="0.2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437.16302</f>
        <v>437.16302000000002</v>
      </c>
      <c r="H81" s="48">
        <f>E81-G81</f>
        <v>387.83697999999998</v>
      </c>
      <c r="I81" s="48">
        <f>779.21725</f>
        <v>779.21725000000004</v>
      </c>
      <c r="J81" s="267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707.08402000000012</v>
      </c>
      <c r="G82" s="10">
        <f t="shared" si="7"/>
        <v>30258.461030000002</v>
      </c>
      <c r="H82" s="10">
        <f t="shared" si="7"/>
        <v>13870.538969999998</v>
      </c>
      <c r="I82" s="10">
        <f t="shared" si="7"/>
        <v>37212.307260000001</v>
      </c>
      <c r="J82" s="267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501.24565000000007</v>
      </c>
      <c r="G83" s="129">
        <f t="shared" si="8"/>
        <v>24129.779320000001</v>
      </c>
      <c r="H83" s="129">
        <f t="shared" si="8"/>
        <v>8375.2206799999985</v>
      </c>
      <c r="I83" s="129">
        <f t="shared" si="8"/>
        <v>29983.534589999999</v>
      </c>
      <c r="J83" s="267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61">
        <v>9004</v>
      </c>
      <c r="F84" s="123">
        <f>45.67607</f>
        <v>45.676070000000003</v>
      </c>
      <c r="G84" s="123">
        <f>3133.78483</f>
        <v>3133.7848300000001</v>
      </c>
      <c r="H84" s="123">
        <f t="shared" ref="H84:H91" si="9">E84-G84</f>
        <v>5870.2151699999995</v>
      </c>
      <c r="I84" s="123">
        <f>4527.07556</f>
        <v>4527.0755600000002</v>
      </c>
      <c r="J84" s="267"/>
    </row>
    <row r="85" spans="1:10" ht="14.1" customHeight="1" x14ac:dyDescent="0.25">
      <c r="A85" s="192"/>
      <c r="B85" s="176"/>
      <c r="C85" s="60" t="s">
        <v>48</v>
      </c>
      <c r="D85" s="61">
        <v>8674</v>
      </c>
      <c r="E85" s="61">
        <v>9075</v>
      </c>
      <c r="F85" s="123">
        <f>150.85753</f>
        <v>150.85753</v>
      </c>
      <c r="G85" s="123">
        <f>6324.29635</f>
        <v>6324.2963499999996</v>
      </c>
      <c r="H85" s="123">
        <f t="shared" si="9"/>
        <v>2750.7036500000004</v>
      </c>
      <c r="I85" s="123">
        <f>9902.57956</f>
        <v>9902.5795600000001</v>
      </c>
      <c r="J85" s="267"/>
    </row>
    <row r="86" spans="1:10" ht="14.1" customHeight="1" x14ac:dyDescent="0.25">
      <c r="A86" s="192"/>
      <c r="B86" s="176"/>
      <c r="C86" s="60" t="s">
        <v>49</v>
      </c>
      <c r="D86" s="61">
        <v>8266</v>
      </c>
      <c r="E86" s="61">
        <v>8649</v>
      </c>
      <c r="F86" s="123">
        <f>119.78042</f>
        <v>119.78042000000001</v>
      </c>
      <c r="G86" s="123">
        <f>7555.84093</f>
        <v>7555.8409300000003</v>
      </c>
      <c r="H86" s="123">
        <f t="shared" si="9"/>
        <v>1093.1590699999997</v>
      </c>
      <c r="I86" s="123">
        <f>9350.58644</f>
        <v>9350.5864399999991</v>
      </c>
      <c r="J86" s="267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61">
        <v>5777</v>
      </c>
      <c r="F87" s="123">
        <f>184.93163</f>
        <v>184.93163000000001</v>
      </c>
      <c r="G87" s="123">
        <f>7115.85721</f>
        <v>7115.8572100000001</v>
      </c>
      <c r="H87" s="123">
        <f t="shared" si="9"/>
        <v>-1338.8572100000001</v>
      </c>
      <c r="I87" s="123">
        <f>6203.29303</f>
        <v>6203.2930299999998</v>
      </c>
      <c r="J87" s="267"/>
    </row>
    <row r="88" spans="1:10" ht="14.1" customHeight="1" x14ac:dyDescent="0.25">
      <c r="A88" s="192"/>
      <c r="B88" s="176"/>
      <c r="C88" s="54" t="s">
        <v>50</v>
      </c>
      <c r="D88" s="55">
        <v>7333</v>
      </c>
      <c r="E88" s="55">
        <v>8117</v>
      </c>
      <c r="F88" s="129">
        <f>173.38137</f>
        <v>173.38137</v>
      </c>
      <c r="G88" s="129">
        <f>4791.25734</f>
        <v>4791.2573400000001</v>
      </c>
      <c r="H88" s="129">
        <f t="shared" si="9"/>
        <v>3325.7426599999999</v>
      </c>
      <c r="I88" s="129">
        <f>5213.0939</f>
        <v>5213.0938999999998</v>
      </c>
      <c r="J88" s="267"/>
    </row>
    <row r="89" spans="1:10" ht="15.75" customHeight="1" x14ac:dyDescent="0.25">
      <c r="A89" s="1"/>
      <c r="B89" s="51"/>
      <c r="C89" s="37" t="s">
        <v>11</v>
      </c>
      <c r="D89" s="59">
        <v>3158</v>
      </c>
      <c r="E89" s="59">
        <v>3507</v>
      </c>
      <c r="F89" s="72">
        <f>32.457</f>
        <v>32.457000000000001</v>
      </c>
      <c r="G89" s="72">
        <f>1337.42437</f>
        <v>1337.42437</v>
      </c>
      <c r="H89" s="72">
        <f t="shared" si="9"/>
        <v>2169.5756300000003</v>
      </c>
      <c r="I89" s="72">
        <f>2015.67877</f>
        <v>2015.67877</v>
      </c>
      <c r="J89" s="267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>
        <v>319</v>
      </c>
      <c r="F90" s="95">
        <f>0</f>
        <v>0</v>
      </c>
      <c r="G90" s="95">
        <f>33.07107</f>
        <v>33.071069999999999</v>
      </c>
      <c r="H90" s="95">
        <f t="shared" si="9"/>
        <v>285.92892999999998</v>
      </c>
      <c r="I90" s="95">
        <f>36.10176</f>
        <v>36.101759999999999</v>
      </c>
      <c r="J90" s="267"/>
    </row>
    <row r="91" spans="1:10" ht="18" customHeight="1" x14ac:dyDescent="0.25">
      <c r="A91" s="1"/>
      <c r="B91" s="277"/>
      <c r="C91" s="70" t="s">
        <v>51</v>
      </c>
      <c r="D91" s="140">
        <v>300</v>
      </c>
      <c r="E91" s="140">
        <v>300</v>
      </c>
      <c r="F91" s="136">
        <f>2.1785</f>
        <v>2.1785000000000001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25">
      <c r="A92" s="1"/>
      <c r="B92" s="277"/>
      <c r="C92" s="89" t="s">
        <v>37</v>
      </c>
      <c r="D92" s="140">
        <v>50</v>
      </c>
      <c r="E92" s="140">
        <v>50</v>
      </c>
      <c r="F92" s="95">
        <f>0.236</f>
        <v>0.23599999999999999</v>
      </c>
      <c r="G92" s="95">
        <f>12.66386</f>
        <v>12.66386</v>
      </c>
      <c r="H92" s="136">
        <f>E92-G92</f>
        <v>37.33614</v>
      </c>
      <c r="I92" s="95">
        <f>21.79166</f>
        <v>21.79166</v>
      </c>
      <c r="J92" s="267"/>
    </row>
    <row r="93" spans="1:10" ht="18" customHeight="1" x14ac:dyDescent="0.25">
      <c r="A93" s="1"/>
      <c r="B93" s="277"/>
      <c r="C93" s="89" t="s">
        <v>52</v>
      </c>
      <c r="D93" s="140"/>
      <c r="E93" s="136"/>
      <c r="F93" s="136">
        <f>0</f>
        <v>0</v>
      </c>
      <c r="G93" s="136">
        <f>12.56032</f>
        <v>12.560320000000001</v>
      </c>
      <c r="H93" s="136">
        <f t="shared" ref="H93" si="10">E93-G93</f>
        <v>-12.560320000000001</v>
      </c>
      <c r="I93" s="136">
        <f>16.07232</f>
        <v>16.072320000000001</v>
      </c>
      <c r="J93" s="267"/>
    </row>
    <row r="94" spans="1:10" ht="16.5" customHeight="1" x14ac:dyDescent="0.2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709.4985200000001</v>
      </c>
      <c r="G94" s="73">
        <f t="shared" si="12"/>
        <v>50229.160279999996</v>
      </c>
      <c r="H94" s="73">
        <f t="shared" si="12"/>
        <v>20709.839719999996</v>
      </c>
      <c r="I94" s="73">
        <f t="shared" si="12"/>
        <v>60920.377480000003</v>
      </c>
      <c r="J94" s="267"/>
    </row>
    <row r="95" spans="1:10" ht="13.5" customHeight="1" x14ac:dyDescent="0.2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25">
      <c r="A96" s="1"/>
      <c r="B96" s="24"/>
      <c r="C96" s="156" t="s">
        <v>158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2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2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2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" customHeight="1" x14ac:dyDescent="0.2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" customHeight="1" x14ac:dyDescent="0.2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" customHeight="1" x14ac:dyDescent="0.2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" customHeight="1" x14ac:dyDescent="0.2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2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2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2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1"/>
    </row>
    <row r="115" spans="1:10" ht="14.1" customHeight="1" x14ac:dyDescent="0.2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80.600399999999993</v>
      </c>
      <c r="G115" s="10">
        <f t="shared" si="13"/>
        <v>33880.764340000002</v>
      </c>
      <c r="H115" s="10">
        <f t="shared" si="13"/>
        <v>37134.235659999998</v>
      </c>
      <c r="I115" s="10">
        <f t="shared" si="13"/>
        <v>41679.253269999994</v>
      </c>
      <c r="J115" s="267"/>
    </row>
    <row r="116" spans="1:10" ht="14.1" customHeight="1" x14ac:dyDescent="0.25">
      <c r="A116" s="1"/>
      <c r="B116" s="277"/>
      <c r="C116" s="43" t="s">
        <v>20</v>
      </c>
      <c r="D116" s="44">
        <v>51830</v>
      </c>
      <c r="E116" s="44">
        <v>56450</v>
      </c>
      <c r="F116" s="22">
        <f>80.6004</f>
        <v>80.600399999999993</v>
      </c>
      <c r="G116" s="22">
        <f>30425.11785</f>
        <v>30425.117849999999</v>
      </c>
      <c r="H116" s="22">
        <f>E116-G116</f>
        <v>26024.882150000001</v>
      </c>
      <c r="I116" s="22">
        <f>37146.13297</f>
        <v>37146.132969999999</v>
      </c>
      <c r="J116" s="267"/>
    </row>
    <row r="117" spans="1:10" ht="15" customHeight="1" x14ac:dyDescent="0.2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3390.28889</f>
        <v>3390.2888899999998</v>
      </c>
      <c r="H117" s="22">
        <f>E117-G117</f>
        <v>10674.71111</v>
      </c>
      <c r="I117" s="22">
        <f>4467.67015</f>
        <v>4467.6701499999999</v>
      </c>
      <c r="J117" s="267"/>
    </row>
    <row r="118" spans="1:10" ht="13.5" customHeight="1" x14ac:dyDescent="0.2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65.45015</f>
        <v>65.450149999999994</v>
      </c>
      <c r="J118" s="267"/>
    </row>
    <row r="119" spans="1:10" ht="14.25" customHeight="1" x14ac:dyDescent="0.25">
      <c r="A119" s="65"/>
      <c r="B119" s="75"/>
      <c r="C119" s="85" t="s">
        <v>61</v>
      </c>
      <c r="D119" s="87">
        <v>43775</v>
      </c>
      <c r="E119" s="87">
        <v>51430</v>
      </c>
      <c r="F119" s="92">
        <f>462.8775</f>
        <v>462.8775</v>
      </c>
      <c r="G119" s="92">
        <f>26645.5676+2136.8858</f>
        <v>28782.453399999999</v>
      </c>
      <c r="H119" s="92">
        <f>E119-G119</f>
        <v>22647.546600000001</v>
      </c>
      <c r="I119" s="92">
        <f>13404.556</f>
        <v>13404.556</v>
      </c>
      <c r="J119" s="111"/>
    </row>
    <row r="120" spans="1:10" ht="15.75" customHeight="1" x14ac:dyDescent="0.2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793.96595000000013</v>
      </c>
      <c r="G120" s="91">
        <f t="shared" ref="G120" si="14">G121+G126+G129</f>
        <v>38836.494469999998</v>
      </c>
      <c r="H120" s="91">
        <f>H121+H126+H129</f>
        <v>36208.505529999995</v>
      </c>
      <c r="I120" s="91">
        <f>I121+I126+I129</f>
        <v>56006.665529999998</v>
      </c>
      <c r="J120" s="117"/>
    </row>
    <row r="121" spans="1:10" ht="14.1" customHeight="1" x14ac:dyDescent="0.2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614.31409000000008</v>
      </c>
      <c r="G121" s="121">
        <f>G122+G123+G125+G124</f>
        <v>28748.223559999999</v>
      </c>
      <c r="H121" s="121">
        <f>H122+H123+H124+H125</f>
        <v>27610.776439999998</v>
      </c>
      <c r="I121" s="121">
        <f>I122+I123+I124+I125</f>
        <v>42365.264190000002</v>
      </c>
      <c r="J121" s="301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16016</v>
      </c>
      <c r="F122" s="123">
        <f>110.57402</f>
        <v>110.57402</v>
      </c>
      <c r="G122" s="123">
        <f>6872.92406</f>
        <v>6872.9240600000003</v>
      </c>
      <c r="H122" s="123">
        <f>E122-G122</f>
        <v>9143.0759399999988</v>
      </c>
      <c r="I122" s="123">
        <f>7906.76631</f>
        <v>7906.76631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14094</v>
      </c>
      <c r="E123" s="61">
        <v>14854</v>
      </c>
      <c r="F123" s="123">
        <f>85.42809</f>
        <v>85.428089999999997</v>
      </c>
      <c r="G123" s="123">
        <f>8506.26237-76.2861</f>
        <v>8429.976270000001</v>
      </c>
      <c r="H123" s="123">
        <f>E123-G123</f>
        <v>6424.023729999999</v>
      </c>
      <c r="I123" s="123">
        <f>11403.63755</f>
        <v>11403.637549999999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12169</v>
      </c>
      <c r="E124" s="61">
        <v>12872</v>
      </c>
      <c r="F124" s="123">
        <f>124.40798</f>
        <v>124.40797999999999</v>
      </c>
      <c r="G124" s="123">
        <f>7322.20267-304.0733</f>
        <v>7018.1293699999997</v>
      </c>
      <c r="H124" s="123">
        <f>E124-G124</f>
        <v>5853.8706300000003</v>
      </c>
      <c r="I124" s="123">
        <f>11666.74126</f>
        <v>11666.741260000001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12617</v>
      </c>
      <c r="F125" s="123">
        <f>293.904</f>
        <v>293.904</v>
      </c>
      <c r="G125" s="123">
        <f>8183.72026-1756.5264</f>
        <v>6427.1938600000003</v>
      </c>
      <c r="H125" s="123">
        <f>E125-G125</f>
        <v>6189.8061399999997</v>
      </c>
      <c r="I125" s="123">
        <f>11388.11907</f>
        <v>11388.119070000001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75.517449999999997</v>
      </c>
      <c r="G126" s="129">
        <f>SUM(G127:G128)</f>
        <v>5955.4270500000002</v>
      </c>
      <c r="H126" s="129">
        <f>H127+H128</f>
        <v>1786.5729499999998</v>
      </c>
      <c r="I126" s="129">
        <f>SUM(I127:I128)</f>
        <v>8870.3483199999991</v>
      </c>
      <c r="J126" s="130"/>
    </row>
    <row r="127" spans="1:10" ht="14.1" customHeight="1" x14ac:dyDescent="0.25">
      <c r="A127" s="1"/>
      <c r="B127" s="277"/>
      <c r="C127" s="60" t="s">
        <v>63</v>
      </c>
      <c r="D127" s="61">
        <v>6819</v>
      </c>
      <c r="E127" s="61">
        <v>7242</v>
      </c>
      <c r="F127" s="123">
        <f>73.09259</f>
        <v>73.092590000000001</v>
      </c>
      <c r="G127" s="123">
        <f>5803.43569</f>
        <v>5803.4356900000002</v>
      </c>
      <c r="H127" s="123">
        <f t="shared" ref="H127:H135" si="15">E127-G127</f>
        <v>1438.5643099999998</v>
      </c>
      <c r="I127" s="123">
        <f>8456.19854</f>
        <v>8456.1985399999994</v>
      </c>
      <c r="J127" s="117"/>
    </row>
    <row r="128" spans="1:10" ht="15" customHeight="1" x14ac:dyDescent="0.25">
      <c r="A128" s="1"/>
      <c r="B128" s="51"/>
      <c r="C128" s="60" t="s">
        <v>64</v>
      </c>
      <c r="D128" s="61">
        <v>500</v>
      </c>
      <c r="E128" s="61">
        <v>500</v>
      </c>
      <c r="F128" s="123">
        <f>2.42486</f>
        <v>2.4248599999999998</v>
      </c>
      <c r="G128" s="123">
        <f>151.99136</f>
        <v>151.99135999999999</v>
      </c>
      <c r="H128" s="123">
        <f t="shared" si="15"/>
        <v>348.00864000000001</v>
      </c>
      <c r="I128" s="123">
        <f>414.14978</f>
        <v>414.14978000000002</v>
      </c>
      <c r="J128" s="131"/>
    </row>
    <row r="129" spans="1:10" ht="15.75" customHeight="1" x14ac:dyDescent="0.25">
      <c r="A129" s="1"/>
      <c r="B129" s="277"/>
      <c r="C129" s="37" t="s">
        <v>11</v>
      </c>
      <c r="D129" s="59">
        <v>9315</v>
      </c>
      <c r="E129" s="59">
        <v>10944</v>
      </c>
      <c r="F129" s="72">
        <f>104.13441</f>
        <v>104.13441</v>
      </c>
      <c r="G129" s="72">
        <f>4132.84386</f>
        <v>4132.8438599999999</v>
      </c>
      <c r="H129" s="72">
        <f t="shared" si="15"/>
        <v>6811.1561400000001</v>
      </c>
      <c r="I129" s="72">
        <f>4771.05302</f>
        <v>4771.0530200000003</v>
      </c>
      <c r="J129" s="117"/>
    </row>
    <row r="130" spans="1:10" ht="15.75" customHeight="1" x14ac:dyDescent="0.25">
      <c r="A130" s="1"/>
      <c r="B130" s="277"/>
      <c r="C130" s="139" t="s">
        <v>33</v>
      </c>
      <c r="D130" s="140">
        <v>146</v>
      </c>
      <c r="E130" s="140">
        <v>146</v>
      </c>
      <c r="F130" s="136">
        <f>0</f>
        <v>0</v>
      </c>
      <c r="G130" s="136">
        <f>16.4505</f>
        <v>16.450500000000002</v>
      </c>
      <c r="H130" s="136">
        <f t="shared" si="15"/>
        <v>129.54949999999999</v>
      </c>
      <c r="I130" s="136">
        <f>15.71255</f>
        <v>15.71255</v>
      </c>
      <c r="J130" s="117"/>
    </row>
    <row r="131" spans="1:10" ht="15.75" customHeight="1" x14ac:dyDescent="0.2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1.001</f>
        <v>1.0009999999999999</v>
      </c>
      <c r="H131" s="95">
        <f t="shared" si="15"/>
        <v>348.99900000000002</v>
      </c>
      <c r="I131" s="95">
        <f>256.036</f>
        <v>256.036</v>
      </c>
      <c r="J131" s="117"/>
    </row>
    <row r="132" spans="1:10" ht="18" customHeight="1" x14ac:dyDescent="0.25">
      <c r="A132" s="1"/>
      <c r="B132" s="277"/>
      <c r="C132" s="137" t="s">
        <v>66</v>
      </c>
      <c r="D132" s="140">
        <v>2000</v>
      </c>
      <c r="E132" s="140">
        <v>2000</v>
      </c>
      <c r="F132" s="136">
        <f>17.24514</f>
        <v>17.245139999999999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2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77"/>
      <c r="C134" s="139" t="s">
        <v>67</v>
      </c>
      <c r="D134" s="140">
        <v>313</v>
      </c>
      <c r="E134" s="140">
        <v>313</v>
      </c>
      <c r="F134" s="95">
        <f>1.02</f>
        <v>1.02</v>
      </c>
      <c r="G134" s="95">
        <f>87.5696</f>
        <v>87.569599999999994</v>
      </c>
      <c r="H134" s="136">
        <f t="shared" si="15"/>
        <v>225.43040000000002</v>
      </c>
      <c r="I134" s="95">
        <f>45.38898</f>
        <v>45.388979999999997</v>
      </c>
      <c r="J134" s="117"/>
    </row>
    <row r="135" spans="1:10" ht="15" customHeight="1" x14ac:dyDescent="0.25">
      <c r="A135" s="1"/>
      <c r="B135" s="277"/>
      <c r="C135" s="139" t="s">
        <v>38</v>
      </c>
      <c r="D135" s="142"/>
      <c r="E135" s="140"/>
      <c r="F135" s="136">
        <f>0.043</f>
        <v>4.2999999999999997E-2</v>
      </c>
      <c r="G135" s="136">
        <f>85.28228</f>
        <v>85.28228</v>
      </c>
      <c r="H135" s="136">
        <f t="shared" si="15"/>
        <v>-85.28228</v>
      </c>
      <c r="I135" s="136">
        <f>114.14054</f>
        <v>114.14054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1355.75199</v>
      </c>
      <c r="G137" s="73">
        <f>G115+G119+G120+G130+G131+G132+G133+G134+G135</f>
        <v>103690.01559000001</v>
      </c>
      <c r="H137" s="73">
        <f>H115+H119+H120+H130+H131+H132+H133+H134+H135</f>
        <v>96608.98440999999</v>
      </c>
      <c r="I137" s="73">
        <f>I115+I119+I120+I130+I131+I132+I133+I134+I135</f>
        <v>113521.75286999998</v>
      </c>
      <c r="J137" s="155"/>
    </row>
    <row r="138" spans="1:10" ht="14.25" customHeight="1" x14ac:dyDescent="0.2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2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2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2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2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" customHeight="1" x14ac:dyDescent="0.2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" customHeight="1" x14ac:dyDescent="0.2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" customHeight="1" x14ac:dyDescent="0.2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" customHeight="1" x14ac:dyDescent="0.2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" customHeight="1" x14ac:dyDescent="0.2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2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2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1"/>
    </row>
    <row r="160" spans="1:10" ht="14.1" customHeight="1" x14ac:dyDescent="0.25">
      <c r="A160" s="1"/>
      <c r="B160" s="277"/>
      <c r="C160" s="138" t="s">
        <v>71</v>
      </c>
      <c r="D160" s="91">
        <v>3762</v>
      </c>
      <c r="E160" s="297">
        <f>0</f>
        <v>0</v>
      </c>
      <c r="F160" s="297">
        <f>802.3486</f>
        <v>802.34860000000003</v>
      </c>
      <c r="G160" s="42">
        <f>D160-F160-F161</f>
        <v>1754.0162699999998</v>
      </c>
      <c r="H160" s="297">
        <f>787.0834</f>
        <v>787.08339999999998</v>
      </c>
      <c r="I160" s="1"/>
      <c r="J160" s="117"/>
    </row>
    <row r="161" spans="1:10" ht="14.1" customHeight="1" x14ac:dyDescent="0.25">
      <c r="A161" s="1"/>
      <c r="B161" s="277"/>
      <c r="C161" s="133" t="s">
        <v>50</v>
      </c>
      <c r="D161" s="175"/>
      <c r="E161" s="148">
        <f>0</f>
        <v>0</v>
      </c>
      <c r="F161" s="148">
        <f>1205.63513</f>
        <v>1205.6351299999999</v>
      </c>
      <c r="G161" s="219"/>
      <c r="H161" s="148">
        <f>1377.89105</f>
        <v>1377.89105</v>
      </c>
      <c r="I161" s="1"/>
      <c r="J161" s="117"/>
    </row>
    <row r="162" spans="1:10" ht="15.6" customHeight="1" x14ac:dyDescent="0.25">
      <c r="A162" s="1"/>
      <c r="B162" s="277"/>
      <c r="C162" s="163" t="s">
        <v>72</v>
      </c>
      <c r="D162" s="95">
        <v>200</v>
      </c>
      <c r="E162" s="166">
        <f>9.09434</f>
        <v>9.0943400000000008</v>
      </c>
      <c r="F162" s="166">
        <f>80.3954</f>
        <v>80.395399999999995</v>
      </c>
      <c r="G162" s="166">
        <f>D162-F162</f>
        <v>119.6046</v>
      </c>
      <c r="H162" s="166">
        <f>82.49204</f>
        <v>82.492040000000003</v>
      </c>
      <c r="I162" s="1"/>
      <c r="J162" s="117"/>
    </row>
    <row r="163" spans="1:10" ht="14.1" customHeight="1" x14ac:dyDescent="0.25">
      <c r="A163" s="65"/>
      <c r="B163" s="75"/>
      <c r="C163" s="174" t="s">
        <v>73</v>
      </c>
      <c r="D163" s="175">
        <v>5642</v>
      </c>
      <c r="E163" s="175">
        <f>E164+E165+E166</f>
        <v>45.084470000000003</v>
      </c>
      <c r="F163" s="175">
        <f>F164+F165+F166</f>
        <v>5166.54054</v>
      </c>
      <c r="G163" s="175">
        <f>D163-F163</f>
        <v>475.45946000000004</v>
      </c>
      <c r="H163" s="175">
        <f>H164+H165+H166</f>
        <v>5857.3873000000003</v>
      </c>
      <c r="I163" s="65"/>
      <c r="J163" s="111"/>
    </row>
    <row r="164" spans="1:10" ht="14.1" customHeight="1" x14ac:dyDescent="0.25">
      <c r="A164" s="192"/>
      <c r="B164" s="176"/>
      <c r="C164" s="177" t="s">
        <v>74</v>
      </c>
      <c r="D164" s="123"/>
      <c r="E164" s="123">
        <f>26.22298</f>
        <v>26.22298</v>
      </c>
      <c r="F164" s="123">
        <f>2952.10477</f>
        <v>2952.1047699999999</v>
      </c>
      <c r="G164" s="123"/>
      <c r="H164" s="123">
        <f>3073.088</f>
        <v>3073.0880000000002</v>
      </c>
      <c r="I164" s="181"/>
      <c r="J164" s="126"/>
    </row>
    <row r="165" spans="1:10" ht="14.1" customHeight="1" x14ac:dyDescent="0.25">
      <c r="A165" s="192"/>
      <c r="B165" s="176"/>
      <c r="C165" s="177" t="s">
        <v>75</v>
      </c>
      <c r="D165" s="123"/>
      <c r="E165" s="123">
        <f>14.7362</f>
        <v>14.7362</v>
      </c>
      <c r="F165" s="123">
        <f>1481.94123</f>
        <v>1481.9412299999999</v>
      </c>
      <c r="G165" s="123"/>
      <c r="H165" s="123">
        <f>1755.27868</f>
        <v>1755.2786799999999</v>
      </c>
      <c r="I165" s="181"/>
      <c r="J165" s="182"/>
    </row>
    <row r="166" spans="1:10" ht="14.1" customHeight="1" x14ac:dyDescent="0.25">
      <c r="A166" s="192"/>
      <c r="B166" s="176"/>
      <c r="C166" s="183" t="s">
        <v>76</v>
      </c>
      <c r="D166" s="186"/>
      <c r="E166" s="186">
        <f>4.12529</f>
        <v>4.1252899999999997</v>
      </c>
      <c r="F166" s="186">
        <f>732.49454</f>
        <v>732.49454000000003</v>
      </c>
      <c r="G166" s="186"/>
      <c r="H166" s="186">
        <f>1029.02062</f>
        <v>1029.02062</v>
      </c>
      <c r="I166" s="181"/>
      <c r="J166" s="182"/>
    </row>
    <row r="167" spans="1:10" ht="14.1" customHeight="1" x14ac:dyDescent="0.2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2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54.178810000000006</v>
      </c>
      <c r="F169" s="188">
        <f>F160+F161+F162+F163+F167+F168</f>
        <v>7260.2727699999996</v>
      </c>
      <c r="G169" s="188">
        <f>D169-F169</f>
        <v>2414.7272300000004</v>
      </c>
      <c r="H169" s="188">
        <f>H160+H161+H162+H163+H167+H168</f>
        <v>8104.8537900000001</v>
      </c>
      <c r="I169" s="159"/>
      <c r="J169" s="155"/>
    </row>
    <row r="170" spans="1:10" ht="42" customHeight="1" x14ac:dyDescent="0.2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2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2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2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25">
      <c r="A189" s="1"/>
      <c r="B189" s="277"/>
      <c r="C189" s="90" t="s">
        <v>4</v>
      </c>
      <c r="D189" s="124">
        <v>44142</v>
      </c>
      <c r="E189" s="124">
        <v>43335</v>
      </c>
      <c r="F189" s="124">
        <f>0</f>
        <v>0</v>
      </c>
      <c r="G189" s="124">
        <f>41872.31752</f>
        <v>41872.317519999997</v>
      </c>
      <c r="H189" s="124">
        <f>D189-G189</f>
        <v>2269.6824800000031</v>
      </c>
      <c r="I189" s="124">
        <f>38107.59783</f>
        <v>38107.597829999999</v>
      </c>
      <c r="J189" s="117"/>
    </row>
    <row r="190" spans="1:10" ht="15" customHeight="1" x14ac:dyDescent="0.25">
      <c r="A190" s="1"/>
      <c r="B190" s="277"/>
      <c r="C190" s="90" t="s">
        <v>64</v>
      </c>
      <c r="D190" s="124">
        <v>100</v>
      </c>
      <c r="E190" s="124">
        <v>100</v>
      </c>
      <c r="F190" s="124">
        <f>0.608</f>
        <v>0.60799999999999998</v>
      </c>
      <c r="G190" s="124">
        <f>32.58164</f>
        <v>32.58164</v>
      </c>
      <c r="H190" s="124">
        <f>D190-G190</f>
        <v>67.418360000000007</v>
      </c>
      <c r="I190" s="124">
        <f>27.61258</f>
        <v>27.612580000000001</v>
      </c>
      <c r="J190" s="117"/>
    </row>
    <row r="191" spans="1:10" ht="15.75" customHeight="1" x14ac:dyDescent="0.2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0.60799999999999998</v>
      </c>
      <c r="G192" s="190">
        <f>SUM(G189:G191)</f>
        <v>41904.899159999994</v>
      </c>
      <c r="H192" s="190">
        <f>D192-G192</f>
        <v>2373.1008400000064</v>
      </c>
      <c r="I192" s="190">
        <f>SUM(I189:I191)</f>
        <v>38135.21041</v>
      </c>
      <c r="J192" s="117"/>
    </row>
    <row r="193" spans="1:10" ht="12" customHeight="1" x14ac:dyDescent="0.2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2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77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25">
      <c r="A202" s="1"/>
      <c r="B202" s="277"/>
      <c r="C202" s="90" t="s">
        <v>113</v>
      </c>
      <c r="D202" s="124">
        <v>3987</v>
      </c>
      <c r="E202" s="72">
        <f>E203+E204</f>
        <v>125.56186</v>
      </c>
      <c r="F202" s="72">
        <f>F203+F204</f>
        <v>3164.6429499999999</v>
      </c>
      <c r="G202" s="72">
        <f>D202-F202</f>
        <v>822.35705000000007</v>
      </c>
      <c r="H202" s="72">
        <f>H203+H204</f>
        <v>3609.5696400000002</v>
      </c>
      <c r="I202" s="271"/>
      <c r="J202" s="117"/>
    </row>
    <row r="203" spans="1:10" ht="15" customHeight="1" x14ac:dyDescent="0.25">
      <c r="A203" s="1"/>
      <c r="B203" s="277"/>
      <c r="C203" s="172" t="s">
        <v>8</v>
      </c>
      <c r="D203" s="124"/>
      <c r="E203" s="72">
        <f>124.41512</f>
        <v>124.41512</v>
      </c>
      <c r="F203" s="72">
        <f>2572.88838</f>
        <v>2572.8883799999999</v>
      </c>
      <c r="G203" s="72"/>
      <c r="H203" s="72">
        <f>3100.89111</f>
        <v>3100.89111</v>
      </c>
      <c r="I203" s="271"/>
      <c r="J203" s="117"/>
    </row>
    <row r="204" spans="1:10" ht="15" customHeight="1" x14ac:dyDescent="0.25">
      <c r="A204" s="1"/>
      <c r="B204" s="277"/>
      <c r="C204" s="172" t="s">
        <v>64</v>
      </c>
      <c r="D204" s="124"/>
      <c r="E204" s="124">
        <f>1.14674</f>
        <v>1.1467400000000001</v>
      </c>
      <c r="F204" s="124">
        <f>591.75457</f>
        <v>591.75456999999994</v>
      </c>
      <c r="G204" s="168"/>
      <c r="H204" s="124">
        <f>508.67853</f>
        <v>508.67853000000002</v>
      </c>
      <c r="I204" s="271"/>
      <c r="J204" s="117"/>
    </row>
    <row r="205" spans="1:10" ht="15" customHeight="1" x14ac:dyDescent="0.25">
      <c r="A205" s="1"/>
      <c r="B205" s="277"/>
      <c r="C205" s="90" t="s">
        <v>114</v>
      </c>
      <c r="D205" s="124">
        <v>4613</v>
      </c>
      <c r="E205" s="72">
        <f>38.07874</f>
        <v>38.078740000000003</v>
      </c>
      <c r="F205" s="72">
        <f>4206.91953</f>
        <v>4206.9195300000001</v>
      </c>
      <c r="G205" s="72">
        <f>D205-F205</f>
        <v>406.08046999999988</v>
      </c>
      <c r="H205" s="72">
        <f>4945.50025</f>
        <v>4945.5002500000001</v>
      </c>
      <c r="I205" s="271"/>
      <c r="J205" s="117"/>
    </row>
    <row r="206" spans="1:10" ht="16.5" customHeight="1" x14ac:dyDescent="0.25">
      <c r="A206" s="1"/>
      <c r="B206" s="277"/>
      <c r="C206" s="179" t="s">
        <v>83</v>
      </c>
      <c r="D206" s="190">
        <f>D205+D202</f>
        <v>8600</v>
      </c>
      <c r="E206" s="190">
        <f>SUM(E202,E205)</f>
        <v>163.64060000000001</v>
      </c>
      <c r="F206" s="190">
        <f>SUM(F202,F205)</f>
        <v>7371.5624800000005</v>
      </c>
      <c r="G206" s="190">
        <f>D206-F206</f>
        <v>1228.4375199999995</v>
      </c>
      <c r="H206" s="190">
        <f>SUM(H202,H205)</f>
        <v>8555.0698900000007</v>
      </c>
      <c r="I206" s="271"/>
      <c r="J206" s="117"/>
    </row>
    <row r="207" spans="1:10" ht="19.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3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2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77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25">
      <c r="A215" s="1"/>
      <c r="B215" s="277"/>
      <c r="C215" s="90" t="s">
        <v>113</v>
      </c>
      <c r="D215" s="124">
        <v>5090</v>
      </c>
      <c r="E215" s="72">
        <f>E216+E217</f>
        <v>169.74252000000001</v>
      </c>
      <c r="F215" s="72">
        <f>F216+F217</f>
        <v>4097.8558999999996</v>
      </c>
      <c r="G215" s="72">
        <f>D215-F215</f>
        <v>992.14410000000044</v>
      </c>
      <c r="H215" s="72">
        <f>H216+H217</f>
        <v>4221.7304599999998</v>
      </c>
      <c r="I215" s="271"/>
      <c r="J215" s="117"/>
    </row>
    <row r="216" spans="1:10" ht="15" customHeight="1" x14ac:dyDescent="0.25">
      <c r="A216" s="1"/>
      <c r="B216" s="277"/>
      <c r="C216" s="172" t="s">
        <v>8</v>
      </c>
      <c r="D216" s="124"/>
      <c r="E216" s="72">
        <f>168.97162</f>
        <v>168.97162</v>
      </c>
      <c r="F216" s="72">
        <f>3782.3938</f>
        <v>3782.3937999999998</v>
      </c>
      <c r="G216" s="72"/>
      <c r="H216" s="72">
        <f>3790.42477</f>
        <v>3790.4247700000001</v>
      </c>
      <c r="I216" s="271"/>
      <c r="J216" s="117"/>
    </row>
    <row r="217" spans="1:10" ht="15" customHeight="1" x14ac:dyDescent="0.25">
      <c r="A217" s="1"/>
      <c r="B217" s="277"/>
      <c r="C217" s="172" t="s">
        <v>64</v>
      </c>
      <c r="D217" s="124"/>
      <c r="E217" s="124">
        <f>0.7709</f>
        <v>0.77090000000000003</v>
      </c>
      <c r="F217" s="124">
        <f>315.4621</f>
        <v>315.46210000000002</v>
      </c>
      <c r="G217" s="168"/>
      <c r="H217" s="124">
        <f>431.30569</f>
        <v>431.30569000000003</v>
      </c>
      <c r="I217" s="271"/>
      <c r="J217" s="117"/>
    </row>
    <row r="218" spans="1:10" ht="15" customHeight="1" x14ac:dyDescent="0.25">
      <c r="A218" s="1"/>
      <c r="B218" s="277"/>
      <c r="C218" s="90" t="s">
        <v>114</v>
      </c>
      <c r="D218" s="124">
        <v>2981</v>
      </c>
      <c r="E218" s="72">
        <f>42.52054</f>
        <v>42.520539999999997</v>
      </c>
      <c r="F218" s="72">
        <f>1845.28369</f>
        <v>1845.28369</v>
      </c>
      <c r="G218" s="72">
        <f>D218-F218</f>
        <v>1135.71631</v>
      </c>
      <c r="H218" s="72">
        <f>2260.13009</f>
        <v>2260.1300900000001</v>
      </c>
      <c r="I218" s="271"/>
      <c r="J218" s="117"/>
    </row>
    <row r="219" spans="1:10" ht="16.5" customHeight="1" x14ac:dyDescent="0.25">
      <c r="A219" s="1"/>
      <c r="B219" s="277"/>
      <c r="C219" s="179" t="s">
        <v>83</v>
      </c>
      <c r="D219" s="190">
        <f>D218+D215</f>
        <v>8071</v>
      </c>
      <c r="E219" s="190">
        <f>SUM(E215,E218)</f>
        <v>212.26306</v>
      </c>
      <c r="F219" s="190">
        <f>SUM(F215,F218)</f>
        <v>5943.1395899999998</v>
      </c>
      <c r="G219" s="190">
        <f>D219-F219</f>
        <v>2127.8604100000002</v>
      </c>
      <c r="H219" s="190">
        <f>SUM(H215,H218)</f>
        <v>6481.8605499999994</v>
      </c>
      <c r="I219" s="271"/>
      <c r="J219" s="117"/>
    </row>
    <row r="220" spans="1:10" ht="19.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2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" customHeight="1" x14ac:dyDescent="0.2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" customHeight="1" x14ac:dyDescent="0.2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2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2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" customHeight="1" x14ac:dyDescent="0.2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25">
      <c r="A236" s="1"/>
      <c r="B236" s="277"/>
      <c r="C236" s="68" t="s">
        <v>16</v>
      </c>
      <c r="D236" s="266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" customHeight="1" x14ac:dyDescent="0.25">
      <c r="A237" s="65"/>
      <c r="B237" s="75"/>
      <c r="C237" s="90" t="s">
        <v>89</v>
      </c>
      <c r="D237" s="124">
        <v>800</v>
      </c>
      <c r="E237" s="124">
        <f>10.45086</f>
        <v>10.45086</v>
      </c>
      <c r="F237" s="124">
        <f>320.68044</f>
        <v>320.68043999999998</v>
      </c>
      <c r="G237" s="124">
        <f>D237-F237</f>
        <v>479.31956000000002</v>
      </c>
      <c r="H237" s="124">
        <f>443.62992</f>
        <v>443.62992000000003</v>
      </c>
      <c r="I237" s="65"/>
      <c r="J237" s="267"/>
    </row>
    <row r="238" spans="1:10" ht="14.1" customHeight="1" x14ac:dyDescent="0.25">
      <c r="A238" s="1"/>
      <c r="B238" s="277"/>
      <c r="C238" s="90" t="s">
        <v>90</v>
      </c>
      <c r="D238" s="269">
        <v>2193</v>
      </c>
      <c r="E238" s="124">
        <f>34.91303</f>
        <v>34.913029999999999</v>
      </c>
      <c r="F238" s="124">
        <f>813.34931</f>
        <v>813.34930999999995</v>
      </c>
      <c r="G238" s="124">
        <f>D238-F238</f>
        <v>1379.6506899999999</v>
      </c>
      <c r="H238" s="124">
        <f>1743.12858</f>
        <v>1743.1285800000001</v>
      </c>
      <c r="I238" s="173"/>
      <c r="J238" s="111"/>
    </row>
    <row r="239" spans="1:10" ht="16.5" customHeight="1" x14ac:dyDescent="0.25">
      <c r="A239" s="65"/>
      <c r="B239" s="75"/>
      <c r="C239" s="146" t="s">
        <v>77</v>
      </c>
      <c r="D239" s="269">
        <v>10</v>
      </c>
      <c r="E239" s="168">
        <f>1.49978</f>
        <v>1.4997799999999999</v>
      </c>
      <c r="F239" s="168">
        <f>2.32092</f>
        <v>2.3209200000000001</v>
      </c>
      <c r="G239" s="124">
        <f>D239-F239</f>
        <v>7.6790799999999999</v>
      </c>
      <c r="H239" s="168">
        <f>3.60962</f>
        <v>3.6096200000000001</v>
      </c>
      <c r="I239" s="65"/>
      <c r="J239" s="272"/>
    </row>
    <row r="240" spans="1:10" ht="18.75" customHeight="1" x14ac:dyDescent="0.25">
      <c r="A240" s="65"/>
      <c r="B240" s="273"/>
      <c r="C240" s="146" t="s">
        <v>91</v>
      </c>
      <c r="D240" s="245"/>
      <c r="E240" s="168">
        <f>0.127</f>
        <v>0.127</v>
      </c>
      <c r="F240" s="168">
        <f>2.52553</f>
        <v>2.5255299999999998</v>
      </c>
      <c r="G240" s="124">
        <f>D240-F240</f>
        <v>-2.5255299999999998</v>
      </c>
      <c r="H240" s="168">
        <f>0.091</f>
        <v>9.0999999999999998E-2</v>
      </c>
      <c r="I240" s="305"/>
      <c r="J240" s="117"/>
    </row>
    <row r="241" spans="1:10" ht="14.1" customHeight="1" x14ac:dyDescent="0.25">
      <c r="A241" s="1"/>
      <c r="B241" s="277"/>
      <c r="C241" s="179" t="s">
        <v>83</v>
      </c>
      <c r="D241" s="5">
        <f>D226</f>
        <v>3003</v>
      </c>
      <c r="E241" s="190">
        <f>SUM(E237:E240)</f>
        <v>46.990670000000001</v>
      </c>
      <c r="F241" s="190">
        <f>SUM(F237:F240)</f>
        <v>1138.8761999999997</v>
      </c>
      <c r="G241" s="190">
        <f>D241-F241</f>
        <v>1864.1238000000003</v>
      </c>
      <c r="H241" s="190">
        <f>H237+H238+H239+H240</f>
        <v>2190.45912</v>
      </c>
      <c r="I241" s="1"/>
      <c r="J241" s="117"/>
    </row>
    <row r="242" spans="1:10" ht="14.1" customHeight="1" x14ac:dyDescent="0.2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25">
      <c r="A244" s="1"/>
      <c r="C244" s="145" t="s">
        <v>109</v>
      </c>
    </row>
    <row r="245" spans="1:10" ht="14.1" customHeight="1" x14ac:dyDescent="0.25">
      <c r="A245" s="1" t="s">
        <v>109</v>
      </c>
    </row>
    <row r="246" spans="1:10" ht="30" customHeight="1" x14ac:dyDescent="0.3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2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" customHeight="1" x14ac:dyDescent="0.2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35" customHeight="1" x14ac:dyDescent="0.2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2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25">
      <c r="B261" s="69"/>
      <c r="C261" s="246" t="s">
        <v>16</v>
      </c>
      <c r="D261" s="255" t="s">
        <v>17</v>
      </c>
      <c r="E261" s="68" t="s">
        <v>133</v>
      </c>
      <c r="F261" s="246" t="s">
        <v>161</v>
      </c>
      <c r="G261" s="246" t="s">
        <v>162</v>
      </c>
      <c r="H261" s="246" t="s">
        <v>163</v>
      </c>
      <c r="I261" s="246" t="s">
        <v>164</v>
      </c>
      <c r="J261" s="127"/>
    </row>
    <row r="262" spans="1:10" ht="14.1" customHeight="1" x14ac:dyDescent="0.2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366.64450999999997</v>
      </c>
      <c r="G262" s="276">
        <f t="shared" si="17"/>
        <v>8635.2918300000001</v>
      </c>
      <c r="H262" s="276">
        <f>H266+H265+H264+H263</f>
        <v>19100.708170000002</v>
      </c>
      <c r="I262" s="276">
        <f t="shared" si="17"/>
        <v>10545.660609999999</v>
      </c>
      <c r="J262" s="127"/>
    </row>
    <row r="263" spans="1:10" ht="14.1" customHeight="1" x14ac:dyDescent="0.25">
      <c r="A263" s="223"/>
      <c r="B263" s="69"/>
      <c r="C263" s="278" t="s">
        <v>99</v>
      </c>
      <c r="D263" s="279">
        <v>14132</v>
      </c>
      <c r="E263" s="279">
        <v>16670</v>
      </c>
      <c r="F263" s="280">
        <f>299.09655</f>
        <v>299.09654999999998</v>
      </c>
      <c r="G263" s="280">
        <f>3473.57699</f>
        <v>3473.57699</v>
      </c>
      <c r="H263" s="280">
        <f t="shared" ref="H263:H267" si="18">E263-G263</f>
        <v>13196.42301</v>
      </c>
      <c r="I263" s="280">
        <f>6027.98137</f>
        <v>6027.9813700000004</v>
      </c>
      <c r="J263" s="127"/>
    </row>
    <row r="264" spans="1:10" ht="14.1" customHeight="1" x14ac:dyDescent="0.2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1017.19341</f>
        <v>1017.19341</v>
      </c>
      <c r="H264" s="280">
        <f t="shared" si="18"/>
        <v>3321.8065900000001</v>
      </c>
      <c r="I264" s="280">
        <f>1183.7259</f>
        <v>1183.7258999999999</v>
      </c>
      <c r="J264" s="127"/>
    </row>
    <row r="265" spans="1:10" ht="14.1" customHeight="1" x14ac:dyDescent="0.25">
      <c r="A265" s="223"/>
      <c r="B265" s="69"/>
      <c r="C265" s="282" t="s">
        <v>96</v>
      </c>
      <c r="D265" s="279">
        <v>1506</v>
      </c>
      <c r="E265" s="279">
        <v>1571</v>
      </c>
      <c r="F265" s="280">
        <f>27.32256</f>
        <v>27.322559999999999</v>
      </c>
      <c r="G265" s="280">
        <f>1248.26484</f>
        <v>1248.26484</v>
      </c>
      <c r="H265" s="280">
        <f t="shared" si="18"/>
        <v>322.73515999999995</v>
      </c>
      <c r="I265" s="280">
        <f>1485.65788</f>
        <v>1485.65788</v>
      </c>
      <c r="J265" s="127"/>
    </row>
    <row r="266" spans="1:10" ht="14.1" customHeight="1" x14ac:dyDescent="0.25">
      <c r="A266" s="223"/>
      <c r="B266" s="69"/>
      <c r="C266" s="284" t="s">
        <v>119</v>
      </c>
      <c r="D266" s="285">
        <v>5043</v>
      </c>
      <c r="E266" s="285">
        <v>5156</v>
      </c>
      <c r="F266" s="280">
        <f>40.2254</f>
        <v>40.2254</v>
      </c>
      <c r="G266" s="280">
        <f>2896.25659</f>
        <v>2896.25659</v>
      </c>
      <c r="H266" s="280">
        <f t="shared" si="18"/>
        <v>2259.74341</v>
      </c>
      <c r="I266" s="280">
        <f>1848.29546</f>
        <v>1848.29546</v>
      </c>
      <c r="J266" s="127"/>
    </row>
    <row r="267" spans="1:10" ht="14.1" customHeight="1" x14ac:dyDescent="0.25">
      <c r="A267" s="223"/>
      <c r="B267" s="69"/>
      <c r="C267" s="287" t="s">
        <v>56</v>
      </c>
      <c r="D267" s="288">
        <v>5500</v>
      </c>
      <c r="E267" s="288">
        <v>5500</v>
      </c>
      <c r="F267" s="290">
        <f>1.985</f>
        <v>1.9850000000000001</v>
      </c>
      <c r="G267" s="290">
        <f>4097.30824</f>
        <v>4097.3082400000003</v>
      </c>
      <c r="H267" s="290">
        <f t="shared" si="18"/>
        <v>1402.6917599999997</v>
      </c>
      <c r="I267" s="290">
        <f>2086.44178</f>
        <v>2086.4417800000001</v>
      </c>
      <c r="J267" s="127"/>
    </row>
    <row r="268" spans="1:10" ht="14.1" customHeight="1" x14ac:dyDescent="0.2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40.867799999999995</v>
      </c>
      <c r="G268" s="291">
        <f>G270+G269</f>
        <v>1797.35798</v>
      </c>
      <c r="H268" s="291">
        <f>E268-G268</f>
        <v>6202.6420200000002</v>
      </c>
      <c r="I268" s="291">
        <f>I270+I269</f>
        <v>2286.8109300000001</v>
      </c>
      <c r="J268" s="127"/>
    </row>
    <row r="269" spans="1:10" ht="14.1" customHeight="1" x14ac:dyDescent="0.25">
      <c r="A269" s="223"/>
      <c r="B269" s="69"/>
      <c r="C269" s="282" t="s">
        <v>50</v>
      </c>
      <c r="D269" s="293"/>
      <c r="E269" s="279"/>
      <c r="F269" s="280">
        <f>8.74236</f>
        <v>8.7423599999999997</v>
      </c>
      <c r="G269" s="280">
        <f>502.05673</f>
        <v>502.05673000000002</v>
      </c>
      <c r="H269" s="280"/>
      <c r="I269" s="280">
        <f>757.97433</f>
        <v>757.97433000000001</v>
      </c>
      <c r="J269" s="127"/>
    </row>
    <row r="270" spans="1:10" ht="14.1" customHeight="1" x14ac:dyDescent="0.25">
      <c r="A270" s="223"/>
      <c r="B270" s="69"/>
      <c r="C270" s="295" t="s">
        <v>100</v>
      </c>
      <c r="D270" s="296"/>
      <c r="E270" s="298"/>
      <c r="F270" s="299">
        <f>32.12544</f>
        <v>32.125439999999998</v>
      </c>
      <c r="G270" s="299">
        <f>1295.30125</f>
        <v>1295.30125</v>
      </c>
      <c r="H270" s="299"/>
      <c r="I270" s="299">
        <f>1528.8366</f>
        <v>1528.8366000000001</v>
      </c>
      <c r="J270" s="127"/>
    </row>
    <row r="271" spans="1:10" ht="14.1" customHeight="1" x14ac:dyDescent="0.2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0.1164</f>
        <v>0.1164</v>
      </c>
      <c r="J271" s="127"/>
    </row>
    <row r="272" spans="1:10" ht="14.1" customHeight="1" x14ac:dyDescent="0.25">
      <c r="A272" s="223"/>
      <c r="B272" s="69"/>
      <c r="C272" s="300" t="s">
        <v>101</v>
      </c>
      <c r="D272" s="303"/>
      <c r="E272" s="304"/>
      <c r="F272" s="290">
        <f>21.53472</f>
        <v>21.53472</v>
      </c>
      <c r="G272" s="290">
        <f>157.98601</f>
        <v>157.98600999999999</v>
      </c>
      <c r="H272" s="290">
        <f>E272-G272</f>
        <v>-157.98600999999999</v>
      </c>
      <c r="I272" s="290">
        <f>102.5388</f>
        <v>102.53879999999999</v>
      </c>
      <c r="J272" s="127"/>
    </row>
    <row r="273" spans="1:10" ht="19.5" customHeight="1" x14ac:dyDescent="0.2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431.03202999999996</v>
      </c>
      <c r="G273" s="308">
        <f t="shared" si="19"/>
        <v>14688.512560000001</v>
      </c>
      <c r="H273" s="308">
        <f>H262+H267+H268+H271+H272</f>
        <v>26560.487439999997</v>
      </c>
      <c r="I273" s="308">
        <f t="shared" si="19"/>
        <v>15021.568520000001</v>
      </c>
      <c r="J273" s="127"/>
    </row>
    <row r="274" spans="1:10" ht="14.1" customHeight="1" x14ac:dyDescent="0.2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109</v>
      </c>
      <c r="D279" s="152"/>
    </row>
    <row r="280" spans="1:10" ht="14.1" customHeight="1" x14ac:dyDescent="0.2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" customHeight="1" x14ac:dyDescent="0.2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24" t="s">
        <v>117</v>
      </c>
      <c r="D288" s="324"/>
      <c r="E288" s="324"/>
      <c r="F288" s="324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25">
      <c r="A293" s="223"/>
      <c r="B293" s="193"/>
      <c r="C293" s="19" t="s">
        <v>104</v>
      </c>
      <c r="D293" s="21" t="s">
        <v>105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47"/>
      <c r="J293" s="13"/>
    </row>
    <row r="294" spans="1:10" ht="14.1" customHeight="1" x14ac:dyDescent="0.25">
      <c r="A294" s="223"/>
      <c r="B294" s="69"/>
      <c r="C294" s="287" t="s">
        <v>106</v>
      </c>
      <c r="D294" s="197">
        <v>779</v>
      </c>
      <c r="E294" s="25">
        <f>SUM(E295:E296)</f>
        <v>48.004399999999997</v>
      </c>
      <c r="F294" s="25">
        <f>SUM(F295:F296)</f>
        <v>482.93125000000003</v>
      </c>
      <c r="G294" s="82">
        <f>D294-F294</f>
        <v>296.06874999999997</v>
      </c>
      <c r="H294" s="25">
        <f>SUM(H295:H296)</f>
        <v>527.47857999999997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34.7534</f>
        <v>34.753399999999999</v>
      </c>
      <c r="F295" s="198">
        <f>372.25285</f>
        <v>372.25285000000002</v>
      </c>
      <c r="G295" s="199"/>
      <c r="H295" s="198">
        <f>414.01108</f>
        <v>414.01107999999999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13.251</f>
        <v>13.250999999999999</v>
      </c>
      <c r="F296" s="202">
        <f>110.6784</f>
        <v>110.6784</v>
      </c>
      <c r="G296" s="203"/>
      <c r="H296" s="202">
        <f>113.4675</f>
        <v>113.4675</v>
      </c>
      <c r="I296" s="145"/>
      <c r="J296" s="127"/>
    </row>
    <row r="297" spans="1:10" ht="14.1" customHeight="1" x14ac:dyDescent="0.25">
      <c r="A297" s="223"/>
      <c r="B297" s="69"/>
      <c r="C297" s="287" t="s">
        <v>107</v>
      </c>
      <c r="D297" s="9">
        <v>779</v>
      </c>
      <c r="E297" s="25">
        <f>SUM(E298:E299)</f>
        <v>0</v>
      </c>
      <c r="F297" s="25">
        <f>SUM(F298:F299)</f>
        <v>0</v>
      </c>
      <c r="G297" s="82">
        <f>D297-F297</f>
        <v>779</v>
      </c>
      <c r="H297" s="25">
        <f>SUM(H298:H299)</f>
        <v>0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0</f>
        <v>0</v>
      </c>
      <c r="F298" s="29">
        <f>0</f>
        <v>0</v>
      </c>
      <c r="G298" s="94"/>
      <c r="H298" s="29">
        <f>0</f>
        <v>0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4"/>
      <c r="E299" s="29">
        <f>0</f>
        <v>0</v>
      </c>
      <c r="F299" s="29">
        <f>0</f>
        <v>0</v>
      </c>
      <c r="G299" s="105"/>
      <c r="H299" s="29">
        <f>0</f>
        <v>0</v>
      </c>
      <c r="I299" s="145"/>
      <c r="J299" s="127"/>
    </row>
    <row r="300" spans="1:10" ht="14.1" customHeight="1" x14ac:dyDescent="0.2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" customHeight="1" x14ac:dyDescent="0.2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48.004399999999997</v>
      </c>
      <c r="F304" s="39">
        <f>F294+F297+F300+F303</f>
        <v>482.93125000000003</v>
      </c>
      <c r="G304" s="40">
        <f>D304-F304</f>
        <v>1855.0687499999999</v>
      </c>
      <c r="H304" s="39">
        <f>H294+H297+H300+H303</f>
        <v>527.47857999999997</v>
      </c>
      <c r="I304" s="26"/>
      <c r="J304" s="127"/>
    </row>
    <row r="305" spans="1:10" ht="42" customHeight="1" x14ac:dyDescent="0.25">
      <c r="A305" s="223"/>
      <c r="B305" s="230"/>
      <c r="C305" s="326" t="s">
        <v>112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109</v>
      </c>
      <c r="D307" s="152"/>
    </row>
    <row r="308" spans="1:10" ht="15.6" customHeight="1" x14ac:dyDescent="0.2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8.95" customHeight="1" x14ac:dyDescent="0.2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2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24" t="s">
        <v>154</v>
      </c>
      <c r="D316" s="324"/>
      <c r="E316" s="324"/>
      <c r="F316" s="324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25">
      <c r="A321" s="223"/>
      <c r="B321" s="193"/>
      <c r="C321" s="19" t="s">
        <v>104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47"/>
      <c r="J321" s="13"/>
    </row>
    <row r="322" spans="1:10" ht="18.75" customHeight="1" x14ac:dyDescent="0.25">
      <c r="A322" s="223"/>
      <c r="B322" s="69"/>
      <c r="C322" s="236" t="s">
        <v>151</v>
      </c>
      <c r="D322" s="237">
        <v>248</v>
      </c>
      <c r="E322" s="29">
        <f>36.50302</f>
        <v>36.503019999999999</v>
      </c>
      <c r="F322" s="29">
        <f>829.67268</f>
        <v>829.67268000000001</v>
      </c>
      <c r="G322" s="238">
        <f>D322-F322</f>
        <v>-581.67268000000001</v>
      </c>
      <c r="H322" s="29">
        <f>396.5675</f>
        <v>396.5675</v>
      </c>
      <c r="I322" s="242"/>
      <c r="J322" s="127"/>
    </row>
    <row r="323" spans="1:10" ht="17.45" customHeight="1" x14ac:dyDescent="0.25">
      <c r="A323" s="223"/>
      <c r="B323" s="69"/>
      <c r="C323" s="239" t="s">
        <v>152</v>
      </c>
      <c r="D323" s="240">
        <v>22048</v>
      </c>
      <c r="E323" s="29">
        <f>47.4902</f>
        <v>47.490200000000002</v>
      </c>
      <c r="F323" s="29">
        <f>1115.43701</f>
        <v>1115.4370100000001</v>
      </c>
      <c r="G323" s="241">
        <f>D323-F323</f>
        <v>20932.562989999999</v>
      </c>
      <c r="H323" s="29">
        <f>1662.01215</f>
        <v>1662.01215</v>
      </c>
      <c r="I323" s="26"/>
      <c r="J323" s="127"/>
    </row>
    <row r="324" spans="1:10" ht="17.100000000000001" customHeight="1" x14ac:dyDescent="0.25">
      <c r="A324" s="223"/>
      <c r="B324" s="69"/>
      <c r="C324" s="306" t="s">
        <v>83</v>
      </c>
      <c r="D324" s="229">
        <f>D322+D323</f>
        <v>22296</v>
      </c>
      <c r="E324" s="39">
        <f>E323+E322</f>
        <v>83.993220000000008</v>
      </c>
      <c r="F324" s="39">
        <f>F323+F322</f>
        <v>1945.1096900000002</v>
      </c>
      <c r="G324" s="39">
        <f>G323+G322</f>
        <v>20350.890309999999</v>
      </c>
      <c r="H324" s="39">
        <f>H323+H322</f>
        <v>2058.5796500000001</v>
      </c>
      <c r="I324" s="26"/>
      <c r="J324" s="127"/>
    </row>
    <row r="325" spans="1:10" ht="22.5" customHeight="1" x14ac:dyDescent="0.25">
      <c r="A325" s="223"/>
      <c r="B325" s="69"/>
      <c r="C325" s="322" t="s">
        <v>153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109</v>
      </c>
      <c r="D328" s="152"/>
    </row>
    <row r="329" spans="1:10" ht="0" hidden="1" customHeight="1" x14ac:dyDescent="0.2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2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21" t="s">
        <v>146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2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2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22" t="s">
        <v>153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33&amp;R18.08.2025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2025-08-19T07:59:29Z</dcterms:modified>
</cp:coreProperties>
</file>