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B6624289-23C0-4D9C-B4C5-04D91B45C3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F345" i="1"/>
  <c r="E345" i="1"/>
  <c r="D345" i="1"/>
  <c r="G344" i="1"/>
  <c r="G343" i="1"/>
  <c r="E336" i="1"/>
  <c r="D324" i="1"/>
  <c r="H323" i="1"/>
  <c r="G323" i="1"/>
  <c r="F323" i="1"/>
  <c r="E323" i="1"/>
  <c r="E324" i="1" s="1"/>
  <c r="H322" i="1"/>
  <c r="H324" i="1" s="1"/>
  <c r="F322" i="1"/>
  <c r="F324" i="1" s="1"/>
  <c r="E322" i="1"/>
  <c r="E315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E294" i="1" s="1"/>
  <c r="E304" i="1" s="1"/>
  <c r="H294" i="1"/>
  <c r="H304" i="1" s="1"/>
  <c r="F294" i="1"/>
  <c r="F304" i="1" s="1"/>
  <c r="D273" i="1"/>
  <c r="I272" i="1"/>
  <c r="G272" i="1"/>
  <c r="H272" i="1" s="1"/>
  <c r="F272" i="1"/>
  <c r="I271" i="1"/>
  <c r="G271" i="1"/>
  <c r="H271" i="1" s="1"/>
  <c r="F271" i="1"/>
  <c r="I270" i="1"/>
  <c r="I268" i="1" s="1"/>
  <c r="G270" i="1"/>
  <c r="F270" i="1"/>
  <c r="F268" i="1" s="1"/>
  <c r="I269" i="1"/>
  <c r="G269" i="1"/>
  <c r="F269" i="1"/>
  <c r="G268" i="1"/>
  <c r="H268" i="1" s="1"/>
  <c r="I267" i="1"/>
  <c r="G267" i="1"/>
  <c r="H267" i="1" s="1"/>
  <c r="F267" i="1"/>
  <c r="I266" i="1"/>
  <c r="G266" i="1"/>
  <c r="H266" i="1" s="1"/>
  <c r="F266" i="1"/>
  <c r="I265" i="1"/>
  <c r="I262" i="1" s="1"/>
  <c r="G265" i="1"/>
  <c r="H265" i="1" s="1"/>
  <c r="F265" i="1"/>
  <c r="I264" i="1"/>
  <c r="G264" i="1"/>
  <c r="H264" i="1" s="1"/>
  <c r="F264" i="1"/>
  <c r="I263" i="1"/>
  <c r="G263" i="1"/>
  <c r="H263" i="1" s="1"/>
  <c r="F263" i="1"/>
  <c r="F262" i="1"/>
  <c r="F273" i="1" s="1"/>
  <c r="E262" i="1"/>
  <c r="E273" i="1" s="1"/>
  <c r="D262" i="1"/>
  <c r="H254" i="1"/>
  <c r="F254" i="1"/>
  <c r="D251" i="1"/>
  <c r="D250" i="1"/>
  <c r="H241" i="1"/>
  <c r="F241" i="1"/>
  <c r="G241" i="1" s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F215" i="1" s="1"/>
  <c r="E217" i="1"/>
  <c r="H216" i="1"/>
  <c r="H215" i="1" s="1"/>
  <c r="H219" i="1" s="1"/>
  <c r="F216" i="1"/>
  <c r="E216" i="1"/>
  <c r="E215" i="1"/>
  <c r="E219" i="1" s="1"/>
  <c r="D206" i="1"/>
  <c r="H205" i="1"/>
  <c r="F205" i="1"/>
  <c r="G205" i="1" s="1"/>
  <c r="E205" i="1"/>
  <c r="H204" i="1"/>
  <c r="F204" i="1"/>
  <c r="E204" i="1"/>
  <c r="H203" i="1"/>
  <c r="F203" i="1"/>
  <c r="E203" i="1"/>
  <c r="E202" i="1" s="1"/>
  <c r="E206" i="1" s="1"/>
  <c r="H202" i="1"/>
  <c r="H206" i="1" s="1"/>
  <c r="F202" i="1"/>
  <c r="G202" i="1" s="1"/>
  <c r="F192" i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G192" i="1" s="1"/>
  <c r="F18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E163" i="1" s="1"/>
  <c r="H164" i="1"/>
  <c r="F164" i="1"/>
  <c r="F163" i="1" s="1"/>
  <c r="E164" i="1"/>
  <c r="H163" i="1"/>
  <c r="H162" i="1"/>
  <c r="F162" i="1"/>
  <c r="G162" i="1" s="1"/>
  <c r="E162" i="1"/>
  <c r="H161" i="1"/>
  <c r="F161" i="1"/>
  <c r="E161" i="1"/>
  <c r="H160" i="1"/>
  <c r="H169" i="1" s="1"/>
  <c r="G160" i="1"/>
  <c r="F160" i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H126" i="1" s="1"/>
  <c r="F127" i="1"/>
  <c r="F126" i="1" s="1"/>
  <c r="I126" i="1"/>
  <c r="E126" i="1"/>
  <c r="D126" i="1"/>
  <c r="D120" i="1" s="1"/>
  <c r="D137" i="1" s="1"/>
  <c r="I125" i="1"/>
  <c r="G125" i="1"/>
  <c r="H125" i="1" s="1"/>
  <c r="F125" i="1"/>
  <c r="I124" i="1"/>
  <c r="G124" i="1"/>
  <c r="H124" i="1" s="1"/>
  <c r="F124" i="1"/>
  <c r="I123" i="1"/>
  <c r="G123" i="1"/>
  <c r="H123" i="1" s="1"/>
  <c r="F123" i="1"/>
  <c r="I122" i="1"/>
  <c r="G122" i="1"/>
  <c r="H122" i="1" s="1"/>
  <c r="F122" i="1"/>
  <c r="F121" i="1" s="1"/>
  <c r="I121" i="1"/>
  <c r="I120" i="1" s="1"/>
  <c r="G121" i="1"/>
  <c r="E121" i="1"/>
  <c r="D121" i="1"/>
  <c r="E120" i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F115" i="1" s="1"/>
  <c r="I116" i="1"/>
  <c r="I115" i="1" s="1"/>
  <c r="G116" i="1"/>
  <c r="G115" i="1" s="1"/>
  <c r="F116" i="1"/>
  <c r="E115" i="1"/>
  <c r="E137" i="1" s="1"/>
  <c r="D115" i="1"/>
  <c r="C113" i="1"/>
  <c r="E94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H84" i="1" s="1"/>
  <c r="F84" i="1"/>
  <c r="F83" i="1" s="1"/>
  <c r="F82" i="1" s="1"/>
  <c r="I83" i="1"/>
  <c r="E83" i="1"/>
  <c r="D83" i="1"/>
  <c r="I82" i="1"/>
  <c r="E82" i="1"/>
  <c r="D82" i="1"/>
  <c r="I81" i="1"/>
  <c r="G81" i="1"/>
  <c r="H81" i="1" s="1"/>
  <c r="H79" i="1" s="1"/>
  <c r="F81" i="1"/>
  <c r="I80" i="1"/>
  <c r="I79" i="1" s="1"/>
  <c r="I94" i="1" s="1"/>
  <c r="H80" i="1"/>
  <c r="G80" i="1"/>
  <c r="F80" i="1"/>
  <c r="G79" i="1"/>
  <c r="F79" i="1"/>
  <c r="E79" i="1"/>
  <c r="D79" i="1"/>
  <c r="D94" i="1" s="1"/>
  <c r="C76" i="1"/>
  <c r="H72" i="1"/>
  <c r="F72" i="1"/>
  <c r="D72" i="1"/>
  <c r="H58" i="1"/>
  <c r="H57" i="1"/>
  <c r="I52" i="1"/>
  <c r="H52" i="1"/>
  <c r="G52" i="1"/>
  <c r="F5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H34" i="1"/>
  <c r="G34" i="1"/>
  <c r="G33" i="1" s="1"/>
  <c r="F34" i="1"/>
  <c r="F33" i="1" s="1"/>
  <c r="E33" i="1"/>
  <c r="E25" i="1" s="1"/>
  <c r="D33" i="1"/>
  <c r="D25" i="1" s="1"/>
  <c r="I32" i="1"/>
  <c r="H32" i="1"/>
  <c r="G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H27" i="1" s="1"/>
  <c r="F27" i="1"/>
  <c r="E26" i="1"/>
  <c r="D26" i="1"/>
  <c r="I24" i="1"/>
  <c r="G24" i="1"/>
  <c r="H24" i="1" s="1"/>
  <c r="H22" i="1" s="1"/>
  <c r="F24" i="1"/>
  <c r="F22" i="1" s="1"/>
  <c r="I23" i="1"/>
  <c r="H23" i="1"/>
  <c r="G23" i="1"/>
  <c r="F23" i="1"/>
  <c r="I22" i="1"/>
  <c r="E22" i="1"/>
  <c r="E42" i="1" s="1"/>
  <c r="D22" i="1"/>
  <c r="D42" i="1" s="1"/>
  <c r="H16" i="1"/>
  <c r="F16" i="1"/>
  <c r="D16" i="1"/>
  <c r="I26" i="1" l="1"/>
  <c r="I25" i="1" s="1"/>
  <c r="I42" i="1" s="1"/>
  <c r="H26" i="1"/>
  <c r="F26" i="1"/>
  <c r="F25" i="1" s="1"/>
  <c r="F42" i="1" s="1"/>
  <c r="F94" i="1"/>
  <c r="F120" i="1"/>
  <c r="F137" i="1" s="1"/>
  <c r="H121" i="1"/>
  <c r="H120" i="1" s="1"/>
  <c r="G219" i="1"/>
  <c r="G215" i="1"/>
  <c r="F219" i="1"/>
  <c r="I273" i="1"/>
  <c r="H83" i="1"/>
  <c r="H82" i="1" s="1"/>
  <c r="H94" i="1" s="1"/>
  <c r="G324" i="1"/>
  <c r="H192" i="1"/>
  <c r="I137" i="1"/>
  <c r="E169" i="1"/>
  <c r="G163" i="1"/>
  <c r="F169" i="1"/>
  <c r="G169" i="1"/>
  <c r="H262" i="1"/>
  <c r="H273" i="1" s="1"/>
  <c r="G304" i="1"/>
  <c r="H33" i="1"/>
  <c r="H25" i="1" s="1"/>
  <c r="H42" i="1" s="1"/>
  <c r="G126" i="1"/>
  <c r="G120" i="1" s="1"/>
  <c r="G137" i="1" s="1"/>
  <c r="G22" i="1"/>
  <c r="G26" i="1"/>
  <c r="G25" i="1" s="1"/>
  <c r="G83" i="1"/>
  <c r="G82" i="1" s="1"/>
  <c r="G94" i="1" s="1"/>
  <c r="H189" i="1"/>
  <c r="F206" i="1"/>
  <c r="G206" i="1" s="1"/>
  <c r="H116" i="1"/>
  <c r="H115" i="1" s="1"/>
  <c r="G322" i="1"/>
  <c r="G262" i="1"/>
  <c r="G273" i="1" s="1"/>
  <c r="G294" i="1"/>
  <c r="H137" i="1" l="1"/>
  <c r="G42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<sst xmlns="http://schemas.openxmlformats.org/spreadsheetml/2006/main" count="393" uniqueCount="167">
  <si>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</si>
  <si>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</si>
  <si>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</si>
  <si>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</si>
  <si>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</si>
  <si>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</si>
  <si>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</si>
  <si>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</si>
  <si>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</si>
  <si>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</si>
  <si>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</si>
  <si>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</si>
  <si>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</si>
  <si>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</si>
  <si>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</si>
  <si>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</si>
  <si>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</si>
  <si>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</si>
  <si>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</si>
  <si>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</si>
  <si>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</si>
  <si>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</si>
  <si>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</si>
  <si>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</si>
  <si>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</si>
  <si>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</si>
  <si>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</si>
  <si>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</si>
  <si>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</si>
  <si>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</si>
  <si>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</si>
  <si>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</si>
  <si>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</si>
  <si>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</si>
  <si>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</si>
  <si>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</si>
  <si>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</si>
  <si>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</si>
  <si>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</si>
  <si>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</si>
  <si>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</si>
  <si>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</si>
  <si>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</si>
  <si>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</si>
  <si>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</si>
  <si>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</si>
  <si>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</si>
  <si>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</si>
  <si>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</si>
  <si>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</si>
  <si>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</si>
  <si>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</si>
  <si>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</si>
  <si>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</si>
  <si>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</si>
  <si>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</si>
  <si>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</si>
  <si>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</si>
  <si>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</si>
  <si>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</si>
  <si>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</si>
  <si>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</si>
  <si>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</si>
  <si>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</si>
  <si>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</si>
  <si>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</si>
  <si>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</si>
  <si>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</si>
  <si>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</si>
  <si>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</si>
  <si>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</si>
  <si>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</si>
  <si>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</si>
  <si>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</si>
  <si>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</si>
  <si>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</si>
  <si>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</si>
  <si>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</si>
  <si>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</si>
  <si>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</si>
  <si>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</si>
  <si>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</si>
  <si>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</si>
  <si>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</si>
  <si>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</si>
  <si>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</si>
  <si>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</si>
  <si>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</si>
  <si>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</si>
  <si>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</si>
  <si>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</si>
  <si>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</si>
  <si>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</si>
  <si>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</si>
  <si>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</si>
  <si>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</si>
  <si>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</si>
  <si>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</si>
  <si>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</si>
  <si>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</si>
  <si>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</si>
  <si>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</si>
  <si>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</si>
  <si>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</si>
  <si>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</si>
  <si>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</si>
  <si>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</si>
  <si>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</si>
  <si>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</si>
  <si>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</si>
  <si>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</si>
  <si>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</si>
  <si>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</si>
  <si>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</si>
  <si>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</si>
  <si>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</si>
  <si>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</si>
  <si>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</si>
  <si>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</si>
  <si>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</si>
  <si>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</si>
  <si>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</si>
  <si>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</si>
  <si>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</si>
  <si>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</si>
  <si>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</si>
  <si>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</si>
  <si>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</si>
  <si>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</si>
  <si>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</si>
  <si>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</si>
  <si>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</si>
  <si>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</si>
  <si>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</si>
  <si>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</si>
  <si>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</si>
  <si>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</si>
  <si>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</si>
  <si>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</si>
  <si>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</si>
  <si>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</si>
  <si>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</si>
  <si>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</si>
  <si>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</si>
  <si>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</si>
  <si>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</si>
  <si>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</si>
  <si>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</si>
  <si>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</si>
  <si>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</si>
  <si>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</si>
  <si>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</si>
  <si>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</si>
  <si>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</si>
  <si>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</si>
  <si>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</si>
  <si>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</si>
  <si>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</si>
  <si>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t>2 Registrert rekreasjonsfiske utgjør 35 tonn, men det legges til grunn at hele avsetningen tas</t>
  </si>
  <si>
    <t>4 Registrert rekreasjonsfiske utgjør 121 tonn, men det legges til grunn at hele avsetningen tas</t>
  </si>
  <si>
    <t>3 Registrert rekreasjonsfiske utgjør 479 tonn, men det legges til grunn at hele avsetningen tas</t>
  </si>
  <si>
    <t>FANGST UKE 20</t>
  </si>
  <si>
    <t>FANGST T.O.M UKE 20</t>
  </si>
  <si>
    <t>RESTKVOTER UKE 20</t>
  </si>
  <si>
    <t>FANGST T.O.M UKE 20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</si>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</sst>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15" zoomScale="112" zoomScaleNormal="55" zoomScaleSheetLayoutView="100" zoomScalePageLayoutView="85" workbookViewId="0">
      <selection activeCell="F143" sqref="F143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123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143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51.243000000000002</v>
      </c>
      <c r="G22" s="27">
        <f t="shared" si="0"/>
        <v>18431.97984</v>
      </c>
      <c r="H22" s="10">
        <f t="shared" si="0"/>
        <v>23154.02016</v>
      </c>
      <c r="I22" s="10">
        <f t="shared" si="0"/>
        <v>35429.72133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51.243</f>
        <v>51.243000000000002</v>
      </c>
      <c r="G23" s="22">
        <f>18134.47584</f>
        <v>18134.475839999999</v>
      </c>
      <c r="H23" s="22">
        <f>E23-G23</f>
        <v>22688.524160000001</v>
      </c>
      <c r="I23" s="22">
        <f>35028.57975</f>
        <v>35028.579749999997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297.504</f>
        <v>297.50400000000002</v>
      </c>
      <c r="H24" s="22">
        <f>E24-G24</f>
        <v>465.49599999999998</v>
      </c>
      <c r="I24" s="22">
        <f>401.14158</f>
        <v>401.14157999999998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1168.1376</v>
      </c>
      <c r="G25" s="10">
        <f t="shared" si="1"/>
        <v>93203.478390000004</v>
      </c>
      <c r="H25" s="10">
        <f t="shared" si="1"/>
        <v>28464.52161</v>
      </c>
      <c r="I25" s="10">
        <f t="shared" si="1"/>
        <v>112127.19576999999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729.92154000000005</v>
      </c>
      <c r="G26" s="129">
        <f>G27+G28+G29+G30+G31</f>
        <v>74675.233120000004</v>
      </c>
      <c r="H26" s="129">
        <f t="shared" ref="H26:I26" si="2">H27+H28+H29+H30+H31</f>
        <v>20217.766879999999</v>
      </c>
      <c r="I26" s="129">
        <f t="shared" si="2"/>
        <v>90621.392659999983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150.75396 - F55</f>
        <v>150.75396000000001</v>
      </c>
      <c r="G27" s="123">
        <f>21780.18286 - G55</f>
        <v>21780.182860000001</v>
      </c>
      <c r="H27" s="123">
        <f t="shared" ref="H27:H39" si="3">E27-G27</f>
        <v>3372.8171399999992</v>
      </c>
      <c r="I27" s="123">
        <f>24890.48422 - I55</f>
        <v>24890.484219999998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121.42425 - F56</f>
        <v>121.42425</v>
      </c>
      <c r="G28" s="123">
        <f>21362.42113 - G56</f>
        <v>21362.421129999999</v>
      </c>
      <c r="H28" s="123">
        <f t="shared" si="3"/>
        <v>2631.5788700000012</v>
      </c>
      <c r="I28" s="123">
        <f>26115.47053 - I56</f>
        <v>26115.470529999999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354.53133 - F57</f>
        <v>354.53133000000003</v>
      </c>
      <c r="G29" s="123">
        <f>19722.12234 - G57</f>
        <v>19722.122340000002</v>
      </c>
      <c r="H29" s="123">
        <f t="shared" si="3"/>
        <v>2147.8776599999983</v>
      </c>
      <c r="I29" s="123">
        <f>24345.10854 - I57</f>
        <v>24345.108540000001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191.212 - F58</f>
        <v>103.21199999999999</v>
      </c>
      <c r="G30" s="123">
        <f>13445.50679 - G58</f>
        <v>11810.506789999999</v>
      </c>
      <c r="H30" s="123">
        <f t="shared" si="3"/>
        <v>3834.4932100000005</v>
      </c>
      <c r="I30" s="123">
        <f>17675.32937 - I58</f>
        <v>15270.329369999999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159.69197</f>
        <v>159.69197</v>
      </c>
      <c r="G32" s="129">
        <f>6625.88612</f>
        <v>6625.8861200000001</v>
      </c>
      <c r="H32" s="129">
        <f t="shared" si="3"/>
        <v>7053.1138799999999</v>
      </c>
      <c r="I32" s="129">
        <f>8258.31165</f>
        <v>8258.3116499999996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278.52409</v>
      </c>
      <c r="G33" s="129">
        <f>G34+G35</f>
        <v>11902.35915</v>
      </c>
      <c r="H33" s="129">
        <f t="shared" si="3"/>
        <v>1193.6408499999998</v>
      </c>
      <c r="I33" s="129">
        <f>I34+I35</f>
        <v>13247.491459999999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278.52409 - F59 - F60</f>
        <v>278.52409</v>
      </c>
      <c r="G34" s="129">
        <f>11902.35915 - G59 - G60</f>
        <v>11902.35915</v>
      </c>
      <c r="H34" s="123">
        <f t="shared" si="3"/>
        <v>233.64084999999977</v>
      </c>
      <c r="I34" s="123">
        <f>13247.49146 - I59 - I60</f>
        <v>13247.491459999999</v>
      </c>
      <c r="J34" s="63"/>
    </row>
    <row r="35" spans="1:10" ht="14.15" customHeight="1" x14ac:dyDescent="0.3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233.6084</f>
        <v>233.60839999999999</v>
      </c>
      <c r="H36" s="136">
        <f t="shared" si="3"/>
        <v>766.39160000000004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34</v>
      </c>
      <c r="D37" s="140">
        <v>855</v>
      </c>
      <c r="E37" s="140">
        <v>855</v>
      </c>
      <c r="F37" s="95">
        <f>1.749</f>
        <v>1.7490000000000001</v>
      </c>
      <c r="G37" s="95">
        <f>529.43181</f>
        <v>529.43181000000004</v>
      </c>
      <c r="H37" s="95">
        <f t="shared" si="3"/>
        <v>325.56818999999996</v>
      </c>
      <c r="I37" s="95">
        <f>448.87981</f>
        <v>448.87981000000002</v>
      </c>
      <c r="J37" s="267"/>
    </row>
    <row r="38" spans="1:10" ht="17.25" customHeight="1" x14ac:dyDescent="0.3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88</v>
      </c>
      <c r="G38" s="95">
        <f>G58</f>
        <v>1635</v>
      </c>
      <c r="H38" s="95">
        <f t="shared" si="3"/>
        <v>1365</v>
      </c>
      <c r="I38" s="95">
        <f>I58</f>
        <v>2405</v>
      </c>
      <c r="J38" s="267"/>
    </row>
    <row r="39" spans="1:10" ht="17.25" customHeight="1" x14ac:dyDescent="0.35">
      <c r="A39" s="1"/>
      <c r="B39" s="277"/>
      <c r="C39" s="70" t="s">
        <v>36</v>
      </c>
      <c r="D39" s="140">
        <v>7000</v>
      </c>
      <c r="E39" s="140">
        <v>7000</v>
      </c>
      <c r="F39" s="95">
        <f>9.93602</f>
        <v>9.9360199999999992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38</v>
      </c>
      <c r="D40" s="140">
        <v>450</v>
      </c>
      <c r="E40" s="140">
        <v>450</v>
      </c>
      <c r="F40" s="95">
        <f>5.6859</f>
        <v>5.6859000000000002</v>
      </c>
      <c r="G40" s="95">
        <f>354.7767</f>
        <v>354.77670000000001</v>
      </c>
      <c r="H40" s="95">
        <f>E40-G40</f>
        <v>95.223299999999995</v>
      </c>
      <c r="I40" s="95">
        <f>310.72161</f>
        <v>310.72161</v>
      </c>
      <c r="J40" s="267"/>
    </row>
    <row r="41" spans="1:10" ht="14.15" customHeight="1" x14ac:dyDescent="0.35">
      <c r="A41" s="1"/>
      <c r="B41" s="277"/>
      <c r="C41" s="70" t="s">
        <v>39</v>
      </c>
      <c r="D41" s="140"/>
      <c r="E41" s="136"/>
      <c r="F41" s="136">
        <f>0</f>
        <v>0</v>
      </c>
      <c r="G41" s="136">
        <f>53.76613</f>
        <v>53.766129999999997</v>
      </c>
      <c r="H41" s="136">
        <f t="shared" ref="H41" si="4">E41-G41</f>
        <v>-53.766129999999997</v>
      </c>
      <c r="I41" s="136">
        <f>85.43626</f>
        <v>85.436260000000004</v>
      </c>
      <c r="J41" s="267"/>
    </row>
    <row r="42" spans="1:10" ht="16.5" customHeight="1" x14ac:dyDescent="0.3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1324.75152</v>
      </c>
      <c r="G42" s="73">
        <f t="shared" si="5"/>
        <v>121442.04127</v>
      </c>
      <c r="H42" s="73">
        <f t="shared" si="5"/>
        <v>54116.958729999991</v>
      </c>
      <c r="I42" s="73">
        <f t="shared" si="5"/>
        <v>158155.31598000001</v>
      </c>
      <c r="J42" s="267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43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5" customHeight="1" x14ac:dyDescent="0.35">
      <c r="A52" s="101"/>
      <c r="B52" s="24"/>
      <c r="C52" s="15" t="s">
        <v>45</v>
      </c>
      <c r="D52" s="329">
        <v>7872</v>
      </c>
      <c r="E52" s="329">
        <v>8231</v>
      </c>
      <c r="F52" s="10">
        <f>F56+F55+F54+F53</f>
        <v>0</v>
      </c>
      <c r="G52" s="10">
        <f>G56+G55+G54+G53</f>
        <v>0</v>
      </c>
      <c r="H52" s="329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/>
      <c r="G53" s="123"/>
      <c r="H53" s="330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/>
      <c r="G54" s="123"/>
      <c r="H54" s="330"/>
      <c r="I54" s="123"/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/>
      <c r="G55" s="123"/>
      <c r="H55" s="330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/>
      <c r="G56" s="186"/>
      <c r="H56" s="331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88</v>
      </c>
      <c r="G58" s="136">
        <v>1635</v>
      </c>
      <c r="H58" s="136">
        <f>E58-G58</f>
        <v>1365</v>
      </c>
      <c r="I58" s="136">
        <v>2405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141.89699999999999</v>
      </c>
      <c r="G79" s="10">
        <f t="shared" si="6"/>
        <v>18478.38163</v>
      </c>
      <c r="H79" s="10">
        <f t="shared" si="6"/>
        <v>7662.6183700000001</v>
      </c>
      <c r="I79" s="10">
        <f t="shared" si="6"/>
        <v>22386.911529999998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141.897</f>
        <v>141.89699999999999</v>
      </c>
      <c r="G80" s="22">
        <f>18068.27823</f>
        <v>18068.27823</v>
      </c>
      <c r="H80" s="22">
        <f>E80-G80</f>
        <v>7247.7217700000001</v>
      </c>
      <c r="I80" s="22">
        <f>21627.56728</f>
        <v>21627.567279999999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410.1034</f>
        <v>410.10340000000002</v>
      </c>
      <c r="H81" s="48">
        <f>E81-G81</f>
        <v>414.89659999999998</v>
      </c>
      <c r="I81" s="48">
        <f>759.34425</f>
        <v>759.34424999999999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973.88644999999997</v>
      </c>
      <c r="G82" s="10">
        <f t="shared" si="7"/>
        <v>20416.807660000002</v>
      </c>
      <c r="H82" s="10">
        <f t="shared" si="7"/>
        <v>23712.192339999998</v>
      </c>
      <c r="I82" s="10">
        <f t="shared" si="7"/>
        <v>23629.365760000001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818.14328999999998</v>
      </c>
      <c r="G83" s="129">
        <f t="shared" si="8"/>
        <v>16553.887750000002</v>
      </c>
      <c r="H83" s="129">
        <f t="shared" si="8"/>
        <v>15951.112249999998</v>
      </c>
      <c r="I83" s="129">
        <f t="shared" si="8"/>
        <v>17739.16243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56.75848</f>
        <v>56.758479999999999</v>
      </c>
      <c r="G84" s="123">
        <f>2506.06372</f>
        <v>2506.0637200000001</v>
      </c>
      <c r="H84" s="123">
        <f t="shared" ref="H84:H91" si="9">E84-G84</f>
        <v>6497.9362799999999</v>
      </c>
      <c r="I84" s="123">
        <f>3561.01145</f>
        <v>3561.01145</v>
      </c>
      <c r="J84" s="267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304.68756</f>
        <v>304.68756000000002</v>
      </c>
      <c r="G85" s="123">
        <f>4270.71609</f>
        <v>4270.7160899999999</v>
      </c>
      <c r="H85" s="123">
        <f t="shared" si="9"/>
        <v>4804.2839100000001</v>
      </c>
      <c r="I85" s="123">
        <f>5839.40519</f>
        <v>5839.4051900000004</v>
      </c>
      <c r="J85" s="267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272.96851</f>
        <v>272.96850999999998</v>
      </c>
      <c r="G86" s="123">
        <f>5613.82717</f>
        <v>5613.8271699999996</v>
      </c>
      <c r="H86" s="123">
        <f t="shared" si="9"/>
        <v>3035.1728300000004</v>
      </c>
      <c r="I86" s="123">
        <f>5556.73682</f>
        <v>5556.7368200000001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183.72874</f>
        <v>183.72873999999999</v>
      </c>
      <c r="G87" s="123">
        <f>4163.28077</f>
        <v>4163.2807700000003</v>
      </c>
      <c r="H87" s="123">
        <f t="shared" si="9"/>
        <v>1613.7192299999997</v>
      </c>
      <c r="I87" s="123">
        <f>2782.00897</f>
        <v>2782.0089699999999</v>
      </c>
      <c r="J87" s="267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139.33316</f>
        <v>139.33315999999999</v>
      </c>
      <c r="G88" s="129">
        <f>2818.9945</f>
        <v>2818.9944999999998</v>
      </c>
      <c r="H88" s="129">
        <f t="shared" si="9"/>
        <v>5298.0055000000002</v>
      </c>
      <c r="I88" s="129">
        <f>4275.76155</f>
        <v>4275.7615500000002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16.41</f>
        <v>16.41</v>
      </c>
      <c r="G89" s="72">
        <f>1043.92541</f>
        <v>1043.9254100000001</v>
      </c>
      <c r="H89" s="72">
        <f t="shared" si="9"/>
        <v>2463.0745900000002</v>
      </c>
      <c r="I89" s="72">
        <f>1614.44178</f>
        <v>1614.4417800000001</v>
      </c>
      <c r="J89" s="267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0.00798</f>
        <v>7.9799999999999992E-3</v>
      </c>
      <c r="G90" s="95">
        <f>27.12243</f>
        <v>27.122430000000001</v>
      </c>
      <c r="H90" s="95">
        <f t="shared" si="9"/>
        <v>291.87756999999999</v>
      </c>
      <c r="I90" s="95">
        <f>36.00468</f>
        <v>36.00468</v>
      </c>
      <c r="J90" s="267"/>
    </row>
    <row r="91" spans="1:10" ht="18" customHeight="1" x14ac:dyDescent="0.35">
      <c r="A91" s="1"/>
      <c r="B91" s="277"/>
      <c r="C91" s="70" t="s">
        <v>54</v>
      </c>
      <c r="D91" s="140">
        <v>300</v>
      </c>
      <c r="E91" s="140">
        <v>300</v>
      </c>
      <c r="F91" s="136">
        <f>0.09432</f>
        <v>9.4320000000000001E-2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38</v>
      </c>
      <c r="D92" s="140">
        <v>50</v>
      </c>
      <c r="E92" s="140">
        <v>50</v>
      </c>
      <c r="F92" s="95">
        <f>0.33889</f>
        <v>0.33889000000000002</v>
      </c>
      <c r="G92" s="95">
        <f>11.8069</f>
        <v>11.806900000000001</v>
      </c>
      <c r="H92" s="136">
        <f>E92-G92</f>
        <v>38.193100000000001</v>
      </c>
      <c r="I92" s="95">
        <f>19.12532</f>
        <v>19.125319999999999</v>
      </c>
      <c r="J92" s="267"/>
    </row>
    <row r="93" spans="1:10" ht="18" customHeight="1" x14ac:dyDescent="0.35">
      <c r="A93" s="1"/>
      <c r="B93" s="277"/>
      <c r="C93" s="89" t="s">
        <v>55</v>
      </c>
      <c r="D93" s="140"/>
      <c r="E93" s="136"/>
      <c r="F93" s="136">
        <f>0</f>
        <v>0</v>
      </c>
      <c r="G93" s="136">
        <f>5.1777</f>
        <v>5.1776999999999997</v>
      </c>
      <c r="H93" s="136">
        <f t="shared" ref="H93" si="10">E93-G93</f>
        <v>-5.1776999999999997</v>
      </c>
      <c r="I93" s="136">
        <f>16.02412</f>
        <v>16.02412</v>
      </c>
      <c r="J93" s="267"/>
    </row>
    <row r="94" spans="1:10" ht="16.5" customHeight="1" x14ac:dyDescent="0.3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1116.2246399999999</v>
      </c>
      <c r="G94" s="73">
        <f t="shared" si="12"/>
        <v>39239.296320000009</v>
      </c>
      <c r="H94" s="73">
        <f t="shared" si="12"/>
        <v>31699.703679999999</v>
      </c>
      <c r="I94" s="73">
        <f t="shared" si="12"/>
        <v>46387.431409999997</v>
      </c>
      <c r="J94" s="267"/>
    </row>
    <row r="95" spans="1:10" ht="13.5" customHeight="1" x14ac:dyDescent="0.35">
      <c r="A95" s="1"/>
      <c r="B95" s="277"/>
      <c r="C95" s="74" t="s">
        <v>126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165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5" customHeight="1" x14ac:dyDescent="0.35">
      <c r="A115" s="1"/>
      <c r="B115" s="277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83.278800000000004</v>
      </c>
      <c r="G115" s="10">
        <f t="shared" si="13"/>
        <v>28315.170329999997</v>
      </c>
      <c r="H115" s="10">
        <f t="shared" si="13"/>
        <v>43974.829669999999</v>
      </c>
      <c r="I115" s="10">
        <f t="shared" si="13"/>
        <v>36079.283339999994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57471</v>
      </c>
      <c r="F116" s="22">
        <f>83.2788</f>
        <v>83.278800000000004</v>
      </c>
      <c r="G116" s="22">
        <f>25149.79153</f>
        <v>25149.791529999999</v>
      </c>
      <c r="H116" s="22">
        <f>E116-G116</f>
        <v>32321.208470000001</v>
      </c>
      <c r="I116" s="22">
        <f>31804.43694</f>
        <v>31804.43694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14319</v>
      </c>
      <c r="F117" s="22">
        <f>0</f>
        <v>0</v>
      </c>
      <c r="G117" s="22">
        <f>3100.0212</f>
        <v>3100.0212000000001</v>
      </c>
      <c r="H117" s="22">
        <f>E117-G117</f>
        <v>11218.978800000001</v>
      </c>
      <c r="I117" s="22">
        <f>4209.39625</f>
        <v>4209.3962499999998</v>
      </c>
      <c r="J117" s="267"/>
    </row>
    <row r="118" spans="1:10" ht="13.5" customHeight="1" x14ac:dyDescent="0.3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52305</v>
      </c>
      <c r="F119" s="92">
        <f>3326.1634</f>
        <v>3326.1633999999999</v>
      </c>
      <c r="G119" s="92">
        <f>6108.63655</f>
        <v>6108.6365500000002</v>
      </c>
      <c r="H119" s="92">
        <f>E119-G119</f>
        <v>46196.363449999997</v>
      </c>
      <c r="I119" s="92">
        <f>1822.8412</f>
        <v>1822.8412000000001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315.08625000000001</v>
      </c>
      <c r="G120" s="91">
        <f t="shared" ref="G120" si="14">G121+G126+G129</f>
        <v>33814.524009999994</v>
      </c>
      <c r="H120" s="91">
        <f>H121+H126+H129</f>
        <v>39080.475990000006</v>
      </c>
      <c r="I120" s="91">
        <f>I121+I126+I129</f>
        <v>45442.152549999999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228.36321000000001</v>
      </c>
      <c r="G121" s="121">
        <f>G122+G123+G125+G124</f>
        <v>25249.300389999997</v>
      </c>
      <c r="H121" s="121">
        <f>H122+H123+H124+H125</f>
        <v>29484.699610000003</v>
      </c>
      <c r="I121" s="121">
        <f>I122+I123+I124+I125</f>
        <v>34214.665909999996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16279</v>
      </c>
      <c r="F122" s="123">
        <f>78.92937</f>
        <v>78.929370000000006</v>
      </c>
      <c r="G122" s="123">
        <f>5614.00534</f>
        <v>5614.0053399999997</v>
      </c>
      <c r="H122" s="123">
        <f>E122-G122</f>
        <v>10664.99466</v>
      </c>
      <c r="I122" s="123">
        <f>6270.86333</f>
        <v>6270.8633300000001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13937</v>
      </c>
      <c r="F123" s="123">
        <f>29.14396</f>
        <v>29.14396</v>
      </c>
      <c r="G123" s="123">
        <f>7574.6005</f>
        <v>7574.6004999999996</v>
      </c>
      <c r="H123" s="123">
        <f>E123-G123</f>
        <v>6362.3995000000004</v>
      </c>
      <c r="I123" s="123">
        <f>10202.5462</f>
        <v>10202.546200000001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11676</v>
      </c>
      <c r="F124" s="123">
        <f>59.09214</f>
        <v>59.092140000000001</v>
      </c>
      <c r="G124" s="123">
        <f>5755.25898</f>
        <v>5755.2589799999996</v>
      </c>
      <c r="H124" s="123">
        <f>E124-G124</f>
        <v>5920.7410200000004</v>
      </c>
      <c r="I124" s="123">
        <f>8930.92687</f>
        <v>8930.9268699999993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12842</v>
      </c>
      <c r="F125" s="123">
        <f>61.19774</f>
        <v>61.197740000000003</v>
      </c>
      <c r="G125" s="123">
        <f>6305.43557</f>
        <v>6305.4355699999996</v>
      </c>
      <c r="H125" s="123">
        <f>E125-G125</f>
        <v>6536.5644300000004</v>
      </c>
      <c r="I125" s="123">
        <f>8810.32951</f>
        <v>8810.3295099999996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16.758769999999998</v>
      </c>
      <c r="G126" s="129">
        <f>SUM(G127:G128)</f>
        <v>5748.9771300000002</v>
      </c>
      <c r="H126" s="129">
        <f>H127+H128</f>
        <v>1282.0228699999998</v>
      </c>
      <c r="I126" s="129">
        <f>SUM(I127:I128)</f>
        <v>8182.8074699999997</v>
      </c>
      <c r="J126" s="130"/>
    </row>
    <row r="127" spans="1:10" ht="14.15" customHeight="1" x14ac:dyDescent="0.35">
      <c r="A127" s="1"/>
      <c r="B127" s="277"/>
      <c r="C127" s="60" t="s">
        <v>66</v>
      </c>
      <c r="D127" s="61">
        <v>6819</v>
      </c>
      <c r="E127" s="61">
        <v>6531</v>
      </c>
      <c r="F127" s="123">
        <f>16.55087</f>
        <v>16.55087</v>
      </c>
      <c r="G127" s="123">
        <f>5633.26446</f>
        <v>5633.2644600000003</v>
      </c>
      <c r="H127" s="123">
        <f t="shared" ref="H127:H135" si="15">E127-G127</f>
        <v>897.73553999999967</v>
      </c>
      <c r="I127" s="123">
        <f>7947.72476</f>
        <v>7947.7247600000001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0.2079</f>
        <v>0.2079</v>
      </c>
      <c r="G128" s="123">
        <f>115.71267</f>
        <v>115.71267</v>
      </c>
      <c r="H128" s="123">
        <f t="shared" si="15"/>
        <v>384.28733</v>
      </c>
      <c r="I128" s="123">
        <f>235.08271</f>
        <v>235.08270999999999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11130</v>
      </c>
      <c r="F129" s="72">
        <f>69.96427</f>
        <v>69.964269999999999</v>
      </c>
      <c r="G129" s="72">
        <f>2816.24649</f>
        <v>2816.24649</v>
      </c>
      <c r="H129" s="72">
        <f t="shared" si="15"/>
        <v>8313.7535100000005</v>
      </c>
      <c r="I129" s="72">
        <f>3044.67917</f>
        <v>3044.6791699999999</v>
      </c>
      <c r="J129" s="117"/>
    </row>
    <row r="130" spans="1:10" ht="15.75" customHeight="1" x14ac:dyDescent="0.35">
      <c r="A130" s="1"/>
      <c r="B130" s="277"/>
      <c r="C130" s="139" t="s">
        <v>34</v>
      </c>
      <c r="D130" s="140">
        <v>146</v>
      </c>
      <c r="E130" s="140">
        <v>146</v>
      </c>
      <c r="F130" s="136">
        <f>0.082</f>
        <v>8.2000000000000003E-2</v>
      </c>
      <c r="G130" s="136">
        <f>15.3247</f>
        <v>15.3247</v>
      </c>
      <c r="H130" s="136">
        <f t="shared" si="15"/>
        <v>130.67529999999999</v>
      </c>
      <c r="I130" s="136">
        <f>15.64845</f>
        <v>15.64845</v>
      </c>
      <c r="J130" s="117"/>
    </row>
    <row r="131" spans="1:10" ht="15.75" customHeight="1" x14ac:dyDescent="0.3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35">
      <c r="A132" s="1"/>
      <c r="B132" s="277"/>
      <c r="C132" s="137" t="s">
        <v>69</v>
      </c>
      <c r="D132" s="140">
        <v>2000</v>
      </c>
      <c r="E132" s="140">
        <v>2000</v>
      </c>
      <c r="F132" s="136">
        <f>4.5997</f>
        <v>4.5997000000000003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70</v>
      </c>
      <c r="D134" s="140">
        <v>313</v>
      </c>
      <c r="E134" s="140">
        <v>313</v>
      </c>
      <c r="F134" s="95">
        <f>0.4624</f>
        <v>0.46239999999999998</v>
      </c>
      <c r="G134" s="95">
        <f>81.76405</f>
        <v>81.764049999999997</v>
      </c>
      <c r="H134" s="136">
        <f t="shared" si="15"/>
        <v>231.23595</v>
      </c>
      <c r="I134" s="95">
        <f>37.91413</f>
        <v>37.91413</v>
      </c>
      <c r="J134" s="117"/>
    </row>
    <row r="135" spans="1:10" ht="15" customHeight="1" x14ac:dyDescent="0.35">
      <c r="A135" s="1"/>
      <c r="B135" s="277"/>
      <c r="C135" s="139" t="s">
        <v>39</v>
      </c>
      <c r="D135" s="142"/>
      <c r="E135" s="140"/>
      <c r="F135" s="136">
        <f>0</f>
        <v>0</v>
      </c>
      <c r="G135" s="136">
        <f>74.77426</f>
        <v>74.774259999999998</v>
      </c>
      <c r="H135" s="136">
        <f t="shared" si="15"/>
        <v>-74.774259999999998</v>
      </c>
      <c r="I135" s="136">
        <f>109.17109</f>
        <v>109.17109000000001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3729.6725499999998</v>
      </c>
      <c r="G137" s="73">
        <f>G115+G119+G120+G130+G131+G132+G133+G134+G135</f>
        <v>70410.193899999984</v>
      </c>
      <c r="H137" s="73">
        <f>H115+H119+H120+H130+H131+H132+H133+H134+H135</f>
        <v>129888.8061</v>
      </c>
      <c r="I137" s="73">
        <f>I115+I119+I120+I130+I131+I132+I133+I134+I135</f>
        <v>85507.01075999999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5" customHeight="1" x14ac:dyDescent="0.35">
      <c r="A160" s="1"/>
      <c r="B160" s="277"/>
      <c r="C160" s="138" t="s">
        <v>74</v>
      </c>
      <c r="D160" s="91">
        <v>3762</v>
      </c>
      <c r="E160" s="297">
        <f>0.74162</f>
        <v>0.74161999999999995</v>
      </c>
      <c r="F160" s="297">
        <f>397.97846</f>
        <v>397.97845999999998</v>
      </c>
      <c r="G160" s="42">
        <f>D160-F160-F161</f>
        <v>2735.6789200000003</v>
      </c>
      <c r="H160" s="297">
        <f>353.25205</f>
        <v>353.25205</v>
      </c>
      <c r="I160" s="1"/>
      <c r="J160" s="117"/>
    </row>
    <row r="161" spans="1:10" ht="14.15" customHeight="1" x14ac:dyDescent="0.35">
      <c r="A161" s="1"/>
      <c r="B161" s="277"/>
      <c r="C161" s="133" t="s">
        <v>53</v>
      </c>
      <c r="D161" s="175"/>
      <c r="E161" s="148">
        <f>40.78624</f>
        <v>40.786239999999999</v>
      </c>
      <c r="F161" s="148">
        <f>628.34262</f>
        <v>628.34262000000001</v>
      </c>
      <c r="G161" s="219"/>
      <c r="H161" s="148">
        <f>844.67423</f>
        <v>844.67422999999997</v>
      </c>
      <c r="I161" s="1"/>
      <c r="J161" s="117"/>
    </row>
    <row r="162" spans="1:10" ht="15.65" customHeight="1" x14ac:dyDescent="0.35">
      <c r="A162" s="1"/>
      <c r="B162" s="277"/>
      <c r="C162" s="163" t="s">
        <v>75</v>
      </c>
      <c r="D162" s="95">
        <v>200</v>
      </c>
      <c r="E162" s="166">
        <f>0.2628</f>
        <v>0.26279999999999998</v>
      </c>
      <c r="F162" s="166">
        <f>51.36122</f>
        <v>51.361220000000003</v>
      </c>
      <c r="G162" s="166">
        <f>D162-F162</f>
        <v>148.63878</v>
      </c>
      <c r="H162" s="166">
        <f>57.71158</f>
        <v>57.711579999999998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7.9656600000000006</v>
      </c>
      <c r="F163" s="175">
        <f>F164+F165+F166</f>
        <v>145.50562000000002</v>
      </c>
      <c r="G163" s="175">
        <f>D163-F163</f>
        <v>5496.4943800000001</v>
      </c>
      <c r="H163" s="175">
        <f>H164+H165+H166</f>
        <v>120.67534999999999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2.00386</f>
        <v>2.00386</v>
      </c>
      <c r="F164" s="123">
        <f>42.52828</f>
        <v>42.528280000000002</v>
      </c>
      <c r="G164" s="123"/>
      <c r="H164" s="123">
        <f>52.93745</f>
        <v>52.937449999999998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4.2442</f>
        <v>4.2442000000000002</v>
      </c>
      <c r="F165" s="123">
        <f>55.00292</f>
        <v>55.002920000000003</v>
      </c>
      <c r="G165" s="123"/>
      <c r="H165" s="123">
        <f>28.52574</f>
        <v>28.525739999999999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1.7176</f>
        <v>1.7176</v>
      </c>
      <c r="F166" s="186">
        <f>47.97442</f>
        <v>47.974420000000002</v>
      </c>
      <c r="G166" s="186"/>
      <c r="H166" s="186">
        <f>39.21216</f>
        <v>39.212159999999997</v>
      </c>
      <c r="I166" s="181"/>
      <c r="J166" s="182"/>
    </row>
    <row r="167" spans="1:10" ht="14.15" customHeight="1" x14ac:dyDescent="0.35">
      <c r="A167" s="1"/>
      <c r="B167" s="277"/>
      <c r="C167" s="70" t="s">
        <v>80</v>
      </c>
      <c r="D167" s="136">
        <v>71</v>
      </c>
      <c r="E167" s="136">
        <f>2.27</f>
        <v>2.27</v>
      </c>
      <c r="F167" s="136">
        <f>2.27</f>
        <v>2.27</v>
      </c>
      <c r="G167" s="136">
        <f>D167-F167</f>
        <v>68.73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52.026319999999998</v>
      </c>
      <c r="F169" s="188">
        <f>F160+F161+F162+F163+F167+F168</f>
        <v>1225.4579199999998</v>
      </c>
      <c r="G169" s="188">
        <f>D169-F169</f>
        <v>8449.5420799999993</v>
      </c>
      <c r="H169" s="188">
        <f>H160+H161+H162+H163+H167+H168</f>
        <v>1376.3132099999998</v>
      </c>
      <c r="I169" s="159"/>
      <c r="J169" s="155"/>
    </row>
    <row r="170" spans="1:10" ht="42" customHeight="1" x14ac:dyDescent="0.3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7.43922</f>
        <v>7.4392199999999997</v>
      </c>
      <c r="G189" s="124">
        <f>17589.6838</f>
        <v>17589.683799999999</v>
      </c>
      <c r="H189" s="124">
        <f>D189-G189</f>
        <v>26552.316200000001</v>
      </c>
      <c r="I189" s="124">
        <f>13472.82852</f>
        <v>13472.828519999999</v>
      </c>
      <c r="J189" s="117"/>
    </row>
    <row r="190" spans="1:10" ht="15" customHeight="1" x14ac:dyDescent="0.35">
      <c r="A190" s="1"/>
      <c r="B190" s="277"/>
      <c r="C190" s="90" t="s">
        <v>67</v>
      </c>
      <c r="D190" s="124">
        <v>100</v>
      </c>
      <c r="E190" s="124">
        <v>100</v>
      </c>
      <c r="F190" s="124">
        <f>2.32</f>
        <v>2.3199999999999998</v>
      </c>
      <c r="G190" s="124">
        <f>13.55434</f>
        <v>13.55434</v>
      </c>
      <c r="H190" s="124">
        <f>D190-G190</f>
        <v>86.445660000000004</v>
      </c>
      <c r="I190" s="124">
        <f>16.17043</f>
        <v>16.17043</v>
      </c>
      <c r="J190" s="117"/>
    </row>
    <row r="191" spans="1:10" ht="15.75" customHeight="1" x14ac:dyDescent="0.3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9.7592199999999991</v>
      </c>
      <c r="G192" s="190">
        <f>SUM(G189:G191)</f>
        <v>17603.238139999998</v>
      </c>
      <c r="H192" s="190">
        <f>D192-G192</f>
        <v>26674.761860000002</v>
      </c>
      <c r="I192" s="190">
        <f>SUM(I189:I191)</f>
        <v>13488.998949999999</v>
      </c>
      <c r="J192" s="117"/>
    </row>
    <row r="193" spans="1:10" ht="12" customHeight="1" x14ac:dyDescent="0.3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77"/>
      <c r="C202" s="90" t="s">
        <v>116</v>
      </c>
      <c r="D202" s="124">
        <v>3987</v>
      </c>
      <c r="E202" s="72">
        <f>E203+E204</f>
        <v>110.80746000000001</v>
      </c>
      <c r="F202" s="72">
        <f>F203+F204</f>
        <v>2338.0054799999998</v>
      </c>
      <c r="G202" s="72">
        <f>D202-F202</f>
        <v>1648.9945200000002</v>
      </c>
      <c r="H202" s="72">
        <f>H203+H204</f>
        <v>2626.1316899999997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109.63606</f>
        <v>109.63606</v>
      </c>
      <c r="F203" s="72">
        <f>1836.72857</f>
        <v>1836.72857</v>
      </c>
      <c r="G203" s="72"/>
      <c r="H203" s="72">
        <f>2160.48096</f>
        <v>2160.4809599999999</v>
      </c>
      <c r="I203" s="271"/>
      <c r="J203" s="117"/>
    </row>
    <row r="204" spans="1:10" ht="15" customHeight="1" x14ac:dyDescent="0.35">
      <c r="A204" s="1"/>
      <c r="B204" s="277"/>
      <c r="C204" s="172" t="s">
        <v>67</v>
      </c>
      <c r="D204" s="124"/>
      <c r="E204" s="124">
        <f>1.1714</f>
        <v>1.1714</v>
      </c>
      <c r="F204" s="124">
        <f>501.27691</f>
        <v>501.27690999999999</v>
      </c>
      <c r="G204" s="168"/>
      <c r="H204" s="124">
        <f>465.65073</f>
        <v>465.65073000000001</v>
      </c>
      <c r="I204" s="271"/>
      <c r="J204" s="117"/>
    </row>
    <row r="205" spans="1:10" ht="15" customHeight="1" x14ac:dyDescent="0.35">
      <c r="A205" s="1"/>
      <c r="B205" s="277"/>
      <c r="C205" s="90" t="s">
        <v>117</v>
      </c>
      <c r="D205" s="124">
        <v>4613</v>
      </c>
      <c r="E205" s="72">
        <f>382.5516</f>
        <v>382.55160000000001</v>
      </c>
      <c r="F205" s="72">
        <f>3197.94575</f>
        <v>3197.9457499999999</v>
      </c>
      <c r="G205" s="72">
        <f>D205-F205</f>
        <v>1415.0542500000001</v>
      </c>
      <c r="H205" s="72">
        <f>3763.30899</f>
        <v>3763.30899</v>
      </c>
      <c r="I205" s="271"/>
      <c r="J205" s="117"/>
    </row>
    <row r="206" spans="1:10" ht="16.5" customHeight="1" x14ac:dyDescent="0.35">
      <c r="A206" s="1"/>
      <c r="B206" s="277"/>
      <c r="C206" s="179" t="s">
        <v>86</v>
      </c>
      <c r="D206" s="190">
        <f>D205+D202</f>
        <v>8600</v>
      </c>
      <c r="E206" s="190">
        <f>SUM(E202,E205)</f>
        <v>493.35906</v>
      </c>
      <c r="F206" s="190">
        <f>SUM(F202,F205)</f>
        <v>5535.9512299999997</v>
      </c>
      <c r="G206" s="190">
        <f>D206-F206</f>
        <v>3064.0487700000003</v>
      </c>
      <c r="H206" s="190">
        <f>SUM(H202,H205)</f>
        <v>6389.4406799999997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77"/>
      <c r="C215" s="90" t="s">
        <v>116</v>
      </c>
      <c r="D215" s="124">
        <v>5090</v>
      </c>
      <c r="E215" s="72">
        <f>E216+E217</f>
        <v>60.753020000000006</v>
      </c>
      <c r="F215" s="72">
        <f>F216+F217</f>
        <v>2070.62554</v>
      </c>
      <c r="G215" s="72">
        <f>D215-F215</f>
        <v>3019.37446</v>
      </c>
      <c r="H215" s="72">
        <f>H216+H217</f>
        <v>2558.8648199999998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60.00366</f>
        <v>60.003660000000004</v>
      </c>
      <c r="F216" s="72">
        <f>1798.25478</f>
        <v>1798.25478</v>
      </c>
      <c r="G216" s="72"/>
      <c r="H216" s="72">
        <f>2193.97963</f>
        <v>2193.9796299999998</v>
      </c>
      <c r="I216" s="271"/>
      <c r="J216" s="117"/>
    </row>
    <row r="217" spans="1:10" ht="15" customHeight="1" x14ac:dyDescent="0.35">
      <c r="A217" s="1"/>
      <c r="B217" s="277"/>
      <c r="C217" s="172" t="s">
        <v>67</v>
      </c>
      <c r="D217" s="124"/>
      <c r="E217" s="124">
        <f>0.74936</f>
        <v>0.74936000000000003</v>
      </c>
      <c r="F217" s="124">
        <f>272.37076</f>
        <v>272.37076000000002</v>
      </c>
      <c r="G217" s="168"/>
      <c r="H217" s="124">
        <f>364.88519</f>
        <v>364.88519000000002</v>
      </c>
      <c r="I217" s="271"/>
      <c r="J217" s="117"/>
    </row>
    <row r="218" spans="1:10" ht="15" customHeight="1" x14ac:dyDescent="0.35">
      <c r="A218" s="1"/>
      <c r="B218" s="277"/>
      <c r="C218" s="90" t="s">
        <v>117</v>
      </c>
      <c r="D218" s="124">
        <v>2981</v>
      </c>
      <c r="E218" s="72">
        <f>60.75804</f>
        <v>60.758040000000001</v>
      </c>
      <c r="F218" s="72">
        <f>1361.06135</f>
        <v>1361.0613499999999</v>
      </c>
      <c r="G218" s="72">
        <f>D218-F218</f>
        <v>1619.9386500000001</v>
      </c>
      <c r="H218" s="72">
        <f>1718.1376</f>
        <v>1718.1376</v>
      </c>
      <c r="I218" s="271"/>
      <c r="J218" s="117"/>
    </row>
    <row r="219" spans="1:10" ht="16.5" customHeight="1" x14ac:dyDescent="0.35">
      <c r="A219" s="1"/>
      <c r="B219" s="277"/>
      <c r="C219" s="179" t="s">
        <v>86</v>
      </c>
      <c r="D219" s="190">
        <f>D218+D215</f>
        <v>8071</v>
      </c>
      <c r="E219" s="190">
        <f>SUM(E215,E218)</f>
        <v>121.51106000000001</v>
      </c>
      <c r="F219" s="190">
        <f>SUM(F215,F218)</f>
        <v>3431.6868899999999</v>
      </c>
      <c r="G219" s="190">
        <f>D219-F219</f>
        <v>4639.3131100000001</v>
      </c>
      <c r="H219" s="190">
        <f>SUM(H215,H218)</f>
        <v>4277.0024199999998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7.78033</f>
        <v>7.7803300000000002</v>
      </c>
      <c r="F237" s="124">
        <f>183.8557</f>
        <v>183.85570000000001</v>
      </c>
      <c r="G237" s="124">
        <f>D237-F237</f>
        <v>616.14429999999993</v>
      </c>
      <c r="H237" s="124">
        <f>264.46954</f>
        <v>264.46953999999999</v>
      </c>
      <c r="I237" s="65"/>
      <c r="J237" s="267"/>
    </row>
    <row r="238" spans="1:10" ht="14.15" customHeight="1" x14ac:dyDescent="0.35">
      <c r="A238" s="1"/>
      <c r="B238" s="277"/>
      <c r="C238" s="90" t="s">
        <v>93</v>
      </c>
      <c r="D238" s="269">
        <v>2193</v>
      </c>
      <c r="E238" s="124">
        <f>10.87844</f>
        <v>10.878439999999999</v>
      </c>
      <c r="F238" s="124">
        <f>338.11773</f>
        <v>338.11772999999999</v>
      </c>
      <c r="G238" s="124">
        <f>D238-F238</f>
        <v>1854.8822700000001</v>
      </c>
      <c r="H238" s="124">
        <f>486.20044</f>
        <v>486.20044000000001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2.10984</f>
        <v>2.1098400000000002</v>
      </c>
      <c r="I239" s="65"/>
      <c r="J239" s="272"/>
    </row>
    <row r="240" spans="1:10" ht="18.75" customHeight="1" x14ac:dyDescent="0.35">
      <c r="A240" s="65"/>
      <c r="B240" s="273"/>
      <c r="C240" s="146" t="s">
        <v>94</v>
      </c>
      <c r="D240" s="245"/>
      <c r="E240" s="168">
        <f>0</f>
        <v>0</v>
      </c>
      <c r="F240" s="168">
        <f>0.6194</f>
        <v>0.61939999999999995</v>
      </c>
      <c r="G240" s="124">
        <f>D240-F240</f>
        <v>-0.61939999999999995</v>
      </c>
      <c r="H240" s="168">
        <f>0.047</f>
        <v>4.7E-2</v>
      </c>
      <c r="I240" s="305"/>
      <c r="J240" s="117"/>
    </row>
    <row r="241" spans="1:10" ht="14.15" customHeight="1" x14ac:dyDescent="0.35">
      <c r="A241" s="1"/>
      <c r="B241" s="277"/>
      <c r="C241" s="179" t="s">
        <v>86</v>
      </c>
      <c r="D241" s="5">
        <f>D226</f>
        <v>3003</v>
      </c>
      <c r="E241" s="190">
        <f>SUM(E237:E240)</f>
        <v>18.658770000000001</v>
      </c>
      <c r="F241" s="190">
        <f>SUM(F237:F240)</f>
        <v>522.64697000000001</v>
      </c>
      <c r="G241" s="190">
        <f>D241-F241</f>
        <v>2480.3530300000002</v>
      </c>
      <c r="H241" s="190">
        <f>H237+H238+H239+H240</f>
        <v>752.82682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136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179.19888</v>
      </c>
      <c r="G262" s="276">
        <f t="shared" si="17"/>
        <v>3022.92704</v>
      </c>
      <c r="H262" s="276">
        <f>H266+H265+H264+H263</f>
        <v>24713.072960000001</v>
      </c>
      <c r="I262" s="276">
        <f t="shared" si="17"/>
        <v>6039.6744600000002</v>
      </c>
      <c r="J262" s="127"/>
    </row>
    <row r="263" spans="1:10" ht="14.15" customHeight="1" x14ac:dyDescent="0.35">
      <c r="A263" s="223"/>
      <c r="B263" s="69"/>
      <c r="C263" s="278" t="s">
        <v>102</v>
      </c>
      <c r="D263" s="279">
        <v>14132</v>
      </c>
      <c r="E263" s="279">
        <v>16670</v>
      </c>
      <c r="F263" s="280">
        <f>0</f>
        <v>0</v>
      </c>
      <c r="G263" s="280">
        <f>844.06121</f>
        <v>844.06120999999996</v>
      </c>
      <c r="H263" s="280">
        <f t="shared" ref="H263:H267" si="18">E263-G263</f>
        <v>15825.93879</v>
      </c>
      <c r="I263" s="280">
        <f>3964.03526</f>
        <v>3964.0352600000001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390.3525</f>
        <v>390.35250000000002</v>
      </c>
      <c r="H264" s="280">
        <f t="shared" si="18"/>
        <v>3948.6475</v>
      </c>
      <c r="I264" s="280">
        <f>832.04145</f>
        <v>832.04145000000005</v>
      </c>
      <c r="J264" s="127"/>
    </row>
    <row r="265" spans="1:10" ht="14.15" customHeight="1" x14ac:dyDescent="0.35">
      <c r="A265" s="223"/>
      <c r="B265" s="69"/>
      <c r="C265" s="282" t="s">
        <v>99</v>
      </c>
      <c r="D265" s="279">
        <v>1506</v>
      </c>
      <c r="E265" s="279">
        <v>1571</v>
      </c>
      <c r="F265" s="280">
        <f>34.26468</f>
        <v>34.264679999999998</v>
      </c>
      <c r="G265" s="280">
        <f>851.77934</f>
        <v>851.77934000000005</v>
      </c>
      <c r="H265" s="280">
        <f t="shared" si="18"/>
        <v>719.22065999999995</v>
      </c>
      <c r="I265" s="280">
        <f>965.62609</f>
        <v>965.62608999999998</v>
      </c>
      <c r="J265" s="127"/>
    </row>
    <row r="266" spans="1:10" ht="14.15" customHeight="1" x14ac:dyDescent="0.35">
      <c r="A266" s="223"/>
      <c r="B266" s="69"/>
      <c r="C266" s="284" t="s">
        <v>122</v>
      </c>
      <c r="D266" s="285">
        <v>5043</v>
      </c>
      <c r="E266" s="285">
        <v>5156</v>
      </c>
      <c r="F266" s="280">
        <f>144.9342</f>
        <v>144.9342</v>
      </c>
      <c r="G266" s="280">
        <f>936.73399</f>
        <v>936.73398999999995</v>
      </c>
      <c r="H266" s="280">
        <f t="shared" si="18"/>
        <v>4219.2660100000003</v>
      </c>
      <c r="I266" s="280">
        <f>277.97166</f>
        <v>277.97165999999999</v>
      </c>
      <c r="J266" s="127"/>
    </row>
    <row r="267" spans="1:10" ht="14.15" customHeight="1" x14ac:dyDescent="0.35">
      <c r="A267" s="223"/>
      <c r="B267" s="69"/>
      <c r="C267" s="287" t="s">
        <v>59</v>
      </c>
      <c r="D267" s="288">
        <v>5500</v>
      </c>
      <c r="E267" s="288">
        <v>5500</v>
      </c>
      <c r="F267" s="290">
        <f>286.663</f>
        <v>286.66300000000001</v>
      </c>
      <c r="G267" s="290">
        <f>2290.15644</f>
        <v>2290.1564400000002</v>
      </c>
      <c r="H267" s="290">
        <f t="shared" si="18"/>
        <v>3209.8435599999998</v>
      </c>
      <c r="I267" s="290">
        <f>1415.66374</f>
        <v>1415.66374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13.1897</v>
      </c>
      <c r="G268" s="291">
        <f>G270+G269</f>
        <v>1154.0880300000001</v>
      </c>
      <c r="H268" s="291">
        <f>E268-G268</f>
        <v>6845.9119700000001</v>
      </c>
      <c r="I268" s="291">
        <f>I270+I269</f>
        <v>1383.7461699999999</v>
      </c>
      <c r="J268" s="127"/>
    </row>
    <row r="269" spans="1:10" ht="14.15" customHeight="1" x14ac:dyDescent="0.35">
      <c r="A269" s="223"/>
      <c r="B269" s="69"/>
      <c r="C269" s="282" t="s">
        <v>53</v>
      </c>
      <c r="D269" s="293"/>
      <c r="E269" s="279"/>
      <c r="F269" s="280">
        <f>0</f>
        <v>0</v>
      </c>
      <c r="G269" s="280">
        <f>447.82058</f>
        <v>447.82058000000001</v>
      </c>
      <c r="H269" s="280"/>
      <c r="I269" s="280">
        <f>520.63196</f>
        <v>520.63196000000005</v>
      </c>
      <c r="J269" s="127"/>
    </row>
    <row r="270" spans="1:10" ht="14.15" customHeight="1" x14ac:dyDescent="0.35">
      <c r="A270" s="223"/>
      <c r="B270" s="69"/>
      <c r="C270" s="295" t="s">
        <v>103</v>
      </c>
      <c r="D270" s="296"/>
      <c r="E270" s="298"/>
      <c r="F270" s="299">
        <f>13.1897</f>
        <v>13.1897</v>
      </c>
      <c r="G270" s="299">
        <f>706.26745</f>
        <v>706.26745000000005</v>
      </c>
      <c r="H270" s="299"/>
      <c r="I270" s="299">
        <f>863.11421</f>
        <v>863.11420999999996</v>
      </c>
      <c r="J270" s="127"/>
    </row>
    <row r="271" spans="1:10" ht="14.15" customHeight="1" x14ac:dyDescent="0.3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0.0135</f>
        <v>1.35E-2</v>
      </c>
      <c r="H271" s="290">
        <f>E271-G271</f>
        <v>12.986499999999999</v>
      </c>
      <c r="I271" s="290">
        <f>0.0264</f>
        <v>2.64E-2</v>
      </c>
      <c r="J271" s="127"/>
    </row>
    <row r="272" spans="1:10" ht="14.15" customHeight="1" x14ac:dyDescent="0.35">
      <c r="A272" s="223"/>
      <c r="B272" s="69"/>
      <c r="C272" s="300" t="s">
        <v>104</v>
      </c>
      <c r="D272" s="303"/>
      <c r="E272" s="304"/>
      <c r="F272" s="290">
        <f>0.0936</f>
        <v>9.3600000000000003E-2</v>
      </c>
      <c r="G272" s="290">
        <f>4.13828</f>
        <v>4.13828</v>
      </c>
      <c r="H272" s="290">
        <f>E272-G272</f>
        <v>-4.13828</v>
      </c>
      <c r="I272" s="290">
        <f>4.63928</f>
        <v>4.6392800000000003</v>
      </c>
      <c r="J272" s="127"/>
    </row>
    <row r="273" spans="1:10" ht="19.5" customHeight="1" x14ac:dyDescent="0.3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479.14518000000004</v>
      </c>
      <c r="G273" s="308">
        <f t="shared" si="19"/>
        <v>6471.3232900000003</v>
      </c>
      <c r="H273" s="308">
        <f>H262+H267+H268+H271+H272</f>
        <v>34777.67671</v>
      </c>
      <c r="I273" s="308">
        <f t="shared" si="19"/>
        <v>8843.7500500000006</v>
      </c>
      <c r="J273" s="127"/>
    </row>
    <row r="274" spans="1:10" ht="14.15" customHeight="1" x14ac:dyDescent="0.3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130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112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120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107</v>
      </c>
      <c r="D293" s="21" t="s">
        <v>108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5" customHeight="1" x14ac:dyDescent="0.35">
      <c r="A294" s="223"/>
      <c r="B294" s="69"/>
      <c r="C294" s="287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23"/>
      <c r="B297" s="69"/>
      <c r="C297" s="287" t="s">
        <v>110</v>
      </c>
      <c r="D297" s="9">
        <v>894</v>
      </c>
      <c r="E297" s="25">
        <f>SUM(E298:E299)</f>
        <v>0</v>
      </c>
      <c r="F297" s="25">
        <f>SUM(F298:F299)</f>
        <v>986.36924999999997</v>
      </c>
      <c r="G297" s="82">
        <f>D297-F297</f>
        <v>-92.369249999999965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763.98023</f>
        <v>763.98023000000001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23"/>
      <c r="B300" s="69"/>
      <c r="C300" s="287" t="s">
        <v>111</v>
      </c>
      <c r="D300" s="9">
        <v>893</v>
      </c>
      <c r="E300" s="34">
        <f>SUM(E301:E302)</f>
        <v>30.238900000000001</v>
      </c>
      <c r="F300" s="34">
        <f>SUM(F301:F302)</f>
        <v>589.94376</v>
      </c>
      <c r="G300" s="82">
        <f>D300-F300</f>
        <v>303.05624</v>
      </c>
      <c r="H300" s="34">
        <f>SUM(H301:H302)</f>
        <v>868.41060000000004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22.285</f>
        <v>22.285</v>
      </c>
      <c r="F301" s="29">
        <f>399.14504</f>
        <v>399.14503999999999</v>
      </c>
      <c r="G301" s="94"/>
      <c r="H301" s="29">
        <f>605.63714</f>
        <v>605.63714000000004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7.9539</f>
        <v>7.9539</v>
      </c>
      <c r="F302" s="29">
        <f>190.79872</f>
        <v>190.79872</v>
      </c>
      <c r="G302" s="105"/>
      <c r="H302" s="29">
        <f>262.77346</f>
        <v>262.77346</v>
      </c>
      <c r="I302" s="145"/>
      <c r="J302" s="127"/>
    </row>
    <row r="303" spans="1:10" ht="14.15" customHeight="1" x14ac:dyDescent="0.3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86</v>
      </c>
      <c r="D304" s="38">
        <f>D294+D297+D300</f>
        <v>2681</v>
      </c>
      <c r="E304" s="39">
        <f>E294+E297+E300+E303</f>
        <v>30.238900000000001</v>
      </c>
      <c r="F304" s="39">
        <f>F294+F297+F300+F303</f>
        <v>2599.5188899999998</v>
      </c>
      <c r="G304" s="40">
        <f>D304-F304</f>
        <v>81.481110000000172</v>
      </c>
      <c r="H304" s="39">
        <f>H294+H297+H300+H303</f>
        <v>3078.8548099999998</v>
      </c>
      <c r="I304" s="26"/>
      <c r="J304" s="127"/>
    </row>
    <row r="305" spans="1:10" ht="42" customHeight="1" x14ac:dyDescent="0.35">
      <c r="A305" s="223"/>
      <c r="B305" s="230"/>
      <c r="C305" s="326" t="s">
        <v>115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112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157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107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35">
      <c r="A322" s="223"/>
      <c r="B322" s="69"/>
      <c r="C322" s="236" t="s">
        <v>154</v>
      </c>
      <c r="D322" s="237">
        <v>248</v>
      </c>
      <c r="E322" s="29">
        <f>0.19437</f>
        <v>0.19436999999999999</v>
      </c>
      <c r="F322" s="29">
        <f>80.0407</f>
        <v>80.040700000000001</v>
      </c>
      <c r="G322" s="238">
        <f>D322-F322</f>
        <v>167.95929999999998</v>
      </c>
      <c r="H322" s="29">
        <f>6.16646</f>
        <v>6.1664599999999998</v>
      </c>
      <c r="I322" s="242"/>
      <c r="J322" s="127"/>
    </row>
    <row r="323" spans="1:10" ht="17.5" customHeight="1" x14ac:dyDescent="0.35">
      <c r="A323" s="223"/>
      <c r="B323" s="69"/>
      <c r="C323" s="239" t="s">
        <v>155</v>
      </c>
      <c r="D323" s="240">
        <v>22048</v>
      </c>
      <c r="E323" s="29">
        <f>17.00411</f>
        <v>17.004110000000001</v>
      </c>
      <c r="F323" s="29">
        <f>293.77421</f>
        <v>293.77420999999998</v>
      </c>
      <c r="G323" s="241">
        <f>D323-F323</f>
        <v>21754.22579</v>
      </c>
      <c r="H323" s="29">
        <f>329.76657</f>
        <v>329.76657</v>
      </c>
      <c r="I323" s="26"/>
      <c r="J323" s="127"/>
    </row>
    <row r="324" spans="1:10" ht="17.149999999999999" customHeight="1" x14ac:dyDescent="0.35">
      <c r="A324" s="223"/>
      <c r="B324" s="69"/>
      <c r="C324" s="306" t="s">
        <v>86</v>
      </c>
      <c r="D324" s="229">
        <f>D322+D323</f>
        <v>22296</v>
      </c>
      <c r="E324" s="39">
        <f>E323+E322</f>
        <v>17.19848</v>
      </c>
      <c r="F324" s="39">
        <f>F323+F322</f>
        <v>373.81491</v>
      </c>
      <c r="G324" s="39">
        <f>G323+G322</f>
        <v>21922.185089999999</v>
      </c>
      <c r="H324" s="39">
        <f>H323+H322</f>
        <v>335.93302999999997</v>
      </c>
      <c r="I324" s="26"/>
      <c r="J324" s="127"/>
    </row>
    <row r="325" spans="1:10" ht="22.5" customHeight="1" x14ac:dyDescent="0.35">
      <c r="A325" s="223"/>
      <c r="B325" s="69"/>
      <c r="C325" s="322" t="s">
        <v>156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112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149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107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3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156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20&amp;R19.05.2025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2025-05-19T06:42:00Z</dcterms:modified>
</cp:coreProperties>
</file>