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"/>
    </mc:Choice>
  </mc:AlternateContent>
  <xr:revisionPtr revIDLastSave="0" documentId="13_ncr:1_{B763B374-4D1C-49DC-96FE-9F5672735550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 s="1"/>
  <c r="G125" i="1"/>
  <c r="H125" i="1" s="1"/>
  <c r="G124" i="1"/>
  <c r="H124" i="1" s="1"/>
  <c r="G123" i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H300" i="1" s="1"/>
  <c r="F302" i="1"/>
  <c r="E302" i="1"/>
  <c r="H301" i="1"/>
  <c r="F301" i="1"/>
  <c r="E301" i="1"/>
  <c r="E300" i="1" s="1"/>
  <c r="H299" i="1"/>
  <c r="F299" i="1"/>
  <c r="E299" i="1"/>
  <c r="H298" i="1"/>
  <c r="F298" i="1"/>
  <c r="E298" i="1"/>
  <c r="E297" i="1" s="1"/>
  <c r="H296" i="1"/>
  <c r="F296" i="1"/>
  <c r="E296" i="1"/>
  <c r="H295" i="1"/>
  <c r="H294" i="1" s="1"/>
  <c r="F295" i="1"/>
  <c r="E295" i="1"/>
  <c r="I272" i="1"/>
  <c r="G272" i="1"/>
  <c r="H272" i="1" s="1"/>
  <c r="F272" i="1"/>
  <c r="I271" i="1"/>
  <c r="G271" i="1"/>
  <c r="H271" i="1" s="1"/>
  <c r="F271" i="1"/>
  <c r="I270" i="1"/>
  <c r="I268" i="1" s="1"/>
  <c r="G270" i="1"/>
  <c r="F270" i="1"/>
  <c r="F268" i="1" s="1"/>
  <c r="I269" i="1"/>
  <c r="G269" i="1"/>
  <c r="F269" i="1"/>
  <c r="I267" i="1"/>
  <c r="G267" i="1"/>
  <c r="H267" i="1" s="1"/>
  <c r="F267" i="1"/>
  <c r="I266" i="1"/>
  <c r="G266" i="1"/>
  <c r="H266" i="1" s="1"/>
  <c r="F266" i="1"/>
  <c r="I265" i="1"/>
  <c r="G265" i="1"/>
  <c r="H265" i="1" s="1"/>
  <c r="F265" i="1"/>
  <c r="I264" i="1"/>
  <c r="G264" i="1"/>
  <c r="H264" i="1" s="1"/>
  <c r="F264" i="1"/>
  <c r="I263" i="1"/>
  <c r="G263" i="1"/>
  <c r="F263" i="1"/>
  <c r="E262" i="1"/>
  <c r="E273" i="1" s="1"/>
  <c r="D262" i="1"/>
  <c r="D273" i="1" s="1"/>
  <c r="H254" i="1"/>
  <c r="F254" i="1"/>
  <c r="D251" i="1"/>
  <c r="D250" i="1"/>
  <c r="D241" i="1"/>
  <c r="H240" i="1"/>
  <c r="F240" i="1"/>
  <c r="G240" i="1" s="1"/>
  <c r="E240" i="1"/>
  <c r="H239" i="1"/>
  <c r="G239" i="1"/>
  <c r="F239" i="1"/>
  <c r="E239" i="1"/>
  <c r="H238" i="1"/>
  <c r="F238" i="1"/>
  <c r="G238" i="1" s="1"/>
  <c r="E238" i="1"/>
  <c r="H237" i="1"/>
  <c r="G237" i="1"/>
  <c r="F237" i="1"/>
  <c r="E237" i="1"/>
  <c r="D230" i="1"/>
  <c r="D219" i="1"/>
  <c r="H218" i="1"/>
  <c r="F218" i="1"/>
  <c r="G218" i="1" s="1"/>
  <c r="E218" i="1"/>
  <c r="H217" i="1"/>
  <c r="F217" i="1"/>
  <c r="E217" i="1"/>
  <c r="H216" i="1"/>
  <c r="F216" i="1"/>
  <c r="E216" i="1"/>
  <c r="D206" i="1"/>
  <c r="H205" i="1"/>
  <c r="F205" i="1"/>
  <c r="G205" i="1" s="1"/>
  <c r="E205" i="1"/>
  <c r="H204" i="1"/>
  <c r="F204" i="1"/>
  <c r="F202" i="1" s="1"/>
  <c r="G202" i="1" s="1"/>
  <c r="E204" i="1"/>
  <c r="H203" i="1"/>
  <c r="F203" i="1"/>
  <c r="E203" i="1"/>
  <c r="E202" i="1" s="1"/>
  <c r="E206" i="1" s="1"/>
  <c r="E192" i="1"/>
  <c r="D192" i="1"/>
  <c r="I191" i="1"/>
  <c r="G191" i="1"/>
  <c r="H191" i="1" s="1"/>
  <c r="F191" i="1"/>
  <c r="I190" i="1"/>
  <c r="G190" i="1"/>
  <c r="F190" i="1"/>
  <c r="I189" i="1"/>
  <c r="G189" i="1"/>
  <c r="H189" i="1" s="1"/>
  <c r="F189" i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F164" i="1"/>
  <c r="E164" i="1"/>
  <c r="H162" i="1"/>
  <c r="F162" i="1"/>
  <c r="G162" i="1" s="1"/>
  <c r="E162" i="1"/>
  <c r="H161" i="1"/>
  <c r="F161" i="1"/>
  <c r="E161" i="1"/>
  <c r="H160" i="1"/>
  <c r="F160" i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F127" i="1"/>
  <c r="E126" i="1"/>
  <c r="D126" i="1"/>
  <c r="I125" i="1"/>
  <c r="F125" i="1"/>
  <c r="I124" i="1"/>
  <c r="F124" i="1"/>
  <c r="I123" i="1"/>
  <c r="I121" i="1" s="1"/>
  <c r="H123" i="1"/>
  <c r="F123" i="1"/>
  <c r="I122" i="1"/>
  <c r="G122" i="1"/>
  <c r="H122" i="1" s="1"/>
  <c r="F122" i="1"/>
  <c r="E121" i="1"/>
  <c r="D121" i="1"/>
  <c r="I119" i="1"/>
  <c r="F119" i="1"/>
  <c r="I118" i="1"/>
  <c r="G118" i="1"/>
  <c r="H118" i="1" s="1"/>
  <c r="F118" i="1"/>
  <c r="I117" i="1"/>
  <c r="G117" i="1"/>
  <c r="H117" i="1" s="1"/>
  <c r="F117" i="1"/>
  <c r="I116" i="1"/>
  <c r="G116" i="1"/>
  <c r="F116" i="1"/>
  <c r="E115" i="1"/>
  <c r="D115" i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H85" i="1" s="1"/>
  <c r="F85" i="1"/>
  <c r="I84" i="1"/>
  <c r="H84" i="1"/>
  <c r="G84" i="1"/>
  <c r="F84" i="1"/>
  <c r="E83" i="1"/>
  <c r="E82" i="1" s="1"/>
  <c r="D83" i="1"/>
  <c r="D82" i="1" s="1"/>
  <c r="I81" i="1"/>
  <c r="H81" i="1"/>
  <c r="G81" i="1"/>
  <c r="F81" i="1"/>
  <c r="F79" i="1" s="1"/>
  <c r="I80" i="1"/>
  <c r="I79" i="1" s="1"/>
  <c r="G80" i="1"/>
  <c r="G79" i="1" s="1"/>
  <c r="F80" i="1"/>
  <c r="E79" i="1"/>
  <c r="D79" i="1"/>
  <c r="C76" i="1"/>
  <c r="H72" i="1"/>
  <c r="F72" i="1"/>
  <c r="D72" i="1"/>
  <c r="H58" i="1"/>
  <c r="H57" i="1"/>
  <c r="I52" i="1"/>
  <c r="I31" i="1" s="1"/>
  <c r="G52" i="1"/>
  <c r="G31" i="1" s="1"/>
  <c r="F52" i="1"/>
  <c r="F31" i="1" s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G35" i="1"/>
  <c r="H35" i="1" s="1"/>
  <c r="F35" i="1"/>
  <c r="I34" i="1"/>
  <c r="G34" i="1"/>
  <c r="F34" i="1"/>
  <c r="E33" i="1"/>
  <c r="D33" i="1"/>
  <c r="I32" i="1"/>
  <c r="G32" i="1"/>
  <c r="H32" i="1" s="1"/>
  <c r="F32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H27" i="1" s="1"/>
  <c r="F27" i="1"/>
  <c r="E26" i="1"/>
  <c r="E25" i="1" s="1"/>
  <c r="D26" i="1"/>
  <c r="D25" i="1" s="1"/>
  <c r="I24" i="1"/>
  <c r="G24" i="1"/>
  <c r="H24" i="1" s="1"/>
  <c r="F24" i="1"/>
  <c r="F22" i="1" s="1"/>
  <c r="I23" i="1"/>
  <c r="G23" i="1"/>
  <c r="F23" i="1"/>
  <c r="E22" i="1"/>
  <c r="D22" i="1"/>
  <c r="H16" i="1"/>
  <c r="F16" i="1"/>
  <c r="D16" i="1"/>
  <c r="D120" i="1" l="1"/>
  <c r="H241" i="1"/>
  <c r="I83" i="1"/>
  <c r="I82" i="1" s="1"/>
  <c r="E120" i="1"/>
  <c r="E137" i="1" s="1"/>
  <c r="F324" i="1"/>
  <c r="I33" i="1"/>
  <c r="D94" i="1"/>
  <c r="F121" i="1"/>
  <c r="F300" i="1"/>
  <c r="G300" i="1" s="1"/>
  <c r="G22" i="1"/>
  <c r="H163" i="1"/>
  <c r="G268" i="1"/>
  <c r="H268" i="1" s="1"/>
  <c r="F297" i="1"/>
  <c r="G297" i="1" s="1"/>
  <c r="I22" i="1"/>
  <c r="F83" i="1"/>
  <c r="F82" i="1" s="1"/>
  <c r="I115" i="1"/>
  <c r="F241" i="1"/>
  <c r="G241" i="1" s="1"/>
  <c r="H83" i="1"/>
  <c r="H82" i="1" s="1"/>
  <c r="H52" i="1"/>
  <c r="H121" i="1"/>
  <c r="H169" i="1"/>
  <c r="I192" i="1"/>
  <c r="H215" i="1"/>
  <c r="H219" i="1" s="1"/>
  <c r="F294" i="1"/>
  <c r="G294" i="1" s="1"/>
  <c r="H297" i="1"/>
  <c r="H304" i="1" s="1"/>
  <c r="E42" i="1"/>
  <c r="E94" i="1"/>
  <c r="H202" i="1"/>
  <c r="H206" i="1" s="1"/>
  <c r="E215" i="1"/>
  <c r="E219" i="1" s="1"/>
  <c r="E241" i="1"/>
  <c r="I262" i="1"/>
  <c r="I273" i="1" s="1"/>
  <c r="H126" i="1"/>
  <c r="G83" i="1"/>
  <c r="G82" i="1" s="1"/>
  <c r="G94" i="1" s="1"/>
  <c r="D137" i="1"/>
  <c r="G192" i="1"/>
  <c r="H192" i="1" s="1"/>
  <c r="F215" i="1"/>
  <c r="F219" i="1" s="1"/>
  <c r="G219" i="1" s="1"/>
  <c r="G262" i="1"/>
  <c r="G273" i="1" s="1"/>
  <c r="F262" i="1"/>
  <c r="F273" i="1" s="1"/>
  <c r="E294" i="1"/>
  <c r="E304" i="1" s="1"/>
  <c r="F33" i="1"/>
  <c r="I126" i="1"/>
  <c r="I120" i="1" s="1"/>
  <c r="F26" i="1"/>
  <c r="G33" i="1"/>
  <c r="I26" i="1"/>
  <c r="F115" i="1"/>
  <c r="E163" i="1"/>
  <c r="E169" i="1" s="1"/>
  <c r="H23" i="1"/>
  <c r="H22" i="1" s="1"/>
  <c r="H80" i="1"/>
  <c r="H79" i="1" s="1"/>
  <c r="G115" i="1"/>
  <c r="G121" i="1"/>
  <c r="F126" i="1"/>
  <c r="F163" i="1"/>
  <c r="G163" i="1" s="1"/>
  <c r="F192" i="1"/>
  <c r="F94" i="1"/>
  <c r="H31" i="1"/>
  <c r="H26" i="1" s="1"/>
  <c r="G26" i="1"/>
  <c r="G215" i="1"/>
  <c r="D42" i="1"/>
  <c r="H33" i="1"/>
  <c r="I94" i="1"/>
  <c r="G126" i="1"/>
  <c r="F206" i="1"/>
  <c r="G206" i="1" s="1"/>
  <c r="H263" i="1"/>
  <c r="H262" i="1" s="1"/>
  <c r="H273" i="1" s="1"/>
  <c r="G323" i="1"/>
  <c r="G324" i="1" s="1"/>
  <c r="H34" i="1"/>
  <c r="G160" i="1"/>
  <c r="H190" i="1"/>
  <c r="H116" i="1"/>
  <c r="H115" i="1" s="1"/>
  <c r="F25" i="1" l="1"/>
  <c r="F42" i="1" s="1"/>
  <c r="I137" i="1"/>
  <c r="H94" i="1"/>
  <c r="I25" i="1"/>
  <c r="I42" i="1" s="1"/>
  <c r="F120" i="1"/>
  <c r="F304" i="1"/>
  <c r="G304" i="1" s="1"/>
  <c r="F137" i="1"/>
  <c r="G120" i="1"/>
  <c r="G137" i="1" s="1"/>
  <c r="G25" i="1"/>
  <c r="G42" i="1" s="1"/>
  <c r="H120" i="1"/>
  <c r="H137" i="1" s="1"/>
  <c r="F169" i="1"/>
  <c r="G169" i="1" s="1"/>
  <c r="H25" i="1"/>
  <c r="H42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<sst xmlns="http://schemas.openxmlformats.org/spreadsheetml/2006/main" count="393" uniqueCount="167">
  <si>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</si>
  <si>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</si>
  <si>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</si>
  <si>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</si>
  <si>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</si>
  <si>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</si>
  <si>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</si>
  <si>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</si>
  <si>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</si>
  <si>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</si>
  <si>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</si>
  <si>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</si>
  <si>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</si>
  <si>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</si>
  <si>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</si>
  <si>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</si>
  <si>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</si>
  <si>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</si>
  <si>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</si>
  <si>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</si>
  <si>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</si>
  <si>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</si>
  <si>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</si>
  <si>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</si>
  <si>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</si>
  <si>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</si>
  <si>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</si>
  <si>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</si>
  <si>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</si>
  <si>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</si>
  <si>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</si>
  <si>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</si>
  <si>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</si>
  <si>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</si>
  <si>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</si>
  <si>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</si>
  <si>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</si>
  <si>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</si>
  <si>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</si>
  <si>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</si>
  <si>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</si>
  <si>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</si>
  <si>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</si>
  <si>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</si>
  <si>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</si>
  <si>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</si>
  <si>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</si>
  <si>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</si>
  <si>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</si>
  <si>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</si>
  <si>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</si>
  <si>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</si>
  <si>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</si>
  <si>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</si>
  <si>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</si>
  <si>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</si>
  <si>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</si>
  <si>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</si>
  <si>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</si>
  <si>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</si>
  <si>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</si>
  <si>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</si>
  <si>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</si>
  <si>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</si>
  <si>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</si>
  <si>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</si>
  <si>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</si>
  <si>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</si>
  <si>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</si>
  <si>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</si>
  <si>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</si>
  <si>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</si>
  <si>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</si>
  <si>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</si>
  <si>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</si>
  <si>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</si>
  <si>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</si>
  <si>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</si>
  <si>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</si>
  <si>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</si>
  <si>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</si>
  <si>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</si>
  <si>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</si>
  <si>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</si>
  <si>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</si>
  <si>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</si>
  <si>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</si>
  <si>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</si>
  <si>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</si>
  <si>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</si>
  <si>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</si>
  <si>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</si>
  <si>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</si>
  <si>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</si>
  <si>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</si>
  <si>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</si>
  <si>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</si>
  <si>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</si>
  <si>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</si>
  <si>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</si>
  <si>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</si>
  <si>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</si>
  <si>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</si>
  <si>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</si>
  <si>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</si>
  <si>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</si>
  <si>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</si>
  <si>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</si>
  <si>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</si>
  <si>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</si>
  <si>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</si>
  <si>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</si>
  <si>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</si>
  <si>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</si>
  <si>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</si>
  <si>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</si>
  <si>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</si>
  <si>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</si>
  <si>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</si>
  <si>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</si>
  <si>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</si>
  <si>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</si>
  <si>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</si>
  <si>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</si>
  <si>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</si>
  <si>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</si>
  <si>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</si>
  <si>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</si>
  <si>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</si>
  <si>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</si>
  <si>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</si>
  <si>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</si>
  <si>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</si>
  <si>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</si>
  <si>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</si>
  <si>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</si>
  <si>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</si>
  <si>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</si>
  <si>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</si>
  <si>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</si>
  <si>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</si>
  <si>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</si>
  <si>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</si>
  <si>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</si>
  <si>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</si>
  <si>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</si>
  <si>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</si>
  <si>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</si>
  <si>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</si>
  <si>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</si>
  <si>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</si>
  <si>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</si>
  <si>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</si>
  <si>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</si>
  <si>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</si>
  <si>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</si>
  <si>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</si>
  <si>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</si>
  <si>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</si>
  <si>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55 tonn, men det legges til grunn at hele avsetningen tas</t>
  </si>
  <si>
    <t>4 Registrert rekreasjonsfiske utgjør 413 tonn, men det legges til grunn at hele avsetningen tas</t>
  </si>
  <si>
    <t>3 Registrert rekreasjonsfiske utgjør 786 tonn, men det legges til grunn at hele avsetningen tas</t>
  </si>
  <si>
    <t>FANGST UKE 50</t>
  </si>
  <si>
    <t>FANGST T.O.M UKE 50</t>
  </si>
  <si>
    <t>RESTKVOTER UKE 50</t>
  </si>
  <si>
    <t>FANGST T.O.M UKE 50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</si>
  <si>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5 044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</si>
</sst>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6" tint="0.79998168889431442"/>
        <bgColor indexed="6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3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1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2" fillId="0" borderId="2" xfId="0" applyFont="1" applyBorder="1"/>
    <xf numFmtId="0" fontId="7" fillId="0" borderId="3" xfId="0" applyFont="1" applyBorder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/>
    <xf numFmtId="0" fontId="7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7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3" fillId="0" borderId="1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 indent="1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indent="1"/>
    </xf>
    <xf numFmtId="3" fontId="2" fillId="0" borderId="25" xfId="0" applyNumberFormat="1" applyFont="1" applyBorder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0" fontId="2" fillId="0" borderId="29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0" fontId="2" fillId="0" borderId="30" xfId="0" applyFont="1" applyBorder="1" applyAlignment="1">
      <alignment vertical="center" wrapText="1"/>
    </xf>
    <xf numFmtId="9" fontId="2" fillId="0" borderId="7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30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3" fontId="6" fillId="2" borderId="3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3" fontId="12" fillId="0" borderId="0" xfId="0" applyNumberFormat="1" applyFont="1" applyAlignment="1">
      <alignment vertical="center" wrapText="1"/>
    </xf>
    <xf numFmtId="164" fontId="20" fillId="0" borderId="7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3" fontId="8" fillId="0" borderId="36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/>
    </xf>
    <xf numFmtId="0" fontId="12" fillId="0" borderId="0" xfId="0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indent="1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13" fillId="0" borderId="37" xfId="0" applyNumberFormat="1" applyFont="1" applyBorder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" fontId="2" fillId="0" borderId="18" xfId="0" applyNumberFormat="1" applyFont="1" applyBorder="1" applyAlignment="1">
      <alignment horizontal="right" vertical="center" indent="1"/>
    </xf>
    <xf numFmtId="0" fontId="2" fillId="0" borderId="3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2" fillId="0" borderId="7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17" fillId="0" borderId="40" xfId="0" applyNumberFormat="1" applyFont="1" applyBorder="1" applyAlignment="1">
      <alignment horizontal="right" vertical="center" wrapText="1"/>
    </xf>
    <xf numFmtId="0" fontId="2" fillId="0" borderId="41" xfId="0" applyFont="1" applyBorder="1"/>
    <xf numFmtId="3" fontId="17" fillId="0" borderId="5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" fillId="0" borderId="7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/>
    </xf>
    <xf numFmtId="3" fontId="17" fillId="0" borderId="7" xfId="0" applyNumberFormat="1" applyFont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1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1" xfId="0" applyNumberFormat="1" applyFont="1" applyBorder="1" applyAlignment="1">
      <alignment horizontal="right" vertical="center" wrapText="1"/>
    </xf>
    <xf numFmtId="0" fontId="2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2" fillId="0" borderId="0" xfId="0" applyFont="1"/>
    <xf numFmtId="0" fontId="8" fillId="0" borderId="36" xfId="0" applyFont="1" applyBorder="1" applyAlignment="1">
      <alignment vertical="center"/>
    </xf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2" fillId="0" borderId="38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7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vertical="center"/>
    </xf>
    <xf numFmtId="3" fontId="8" fillId="0" borderId="36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0" borderId="44" xfId="0" applyFont="1" applyBorder="1" applyAlignment="1">
      <alignment vertical="center" wrapText="1"/>
    </xf>
    <xf numFmtId="3" fontId="8" fillId="0" borderId="44" xfId="0" applyNumberFormat="1" applyFont="1" applyBorder="1" applyAlignment="1">
      <alignment horizontal="right" vertical="center" wrapText="1"/>
    </xf>
    <xf numFmtId="0" fontId="22" fillId="0" borderId="14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7" xfId="0" applyNumberFormat="1" applyFont="1" applyBorder="1" applyAlignment="1">
      <alignment vertical="center"/>
    </xf>
    <xf numFmtId="0" fontId="18" fillId="0" borderId="26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vertical="center"/>
    </xf>
    <xf numFmtId="3" fontId="18" fillId="0" borderId="27" xfId="0" applyNumberFormat="1" applyFont="1" applyBorder="1" applyAlignment="1">
      <alignment horizontal="right" vertical="center" wrapText="1"/>
    </xf>
    <xf numFmtId="3" fontId="24" fillId="0" borderId="18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3" fontId="10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8" fillId="0" borderId="37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1" fontId="14" fillId="0" borderId="35" xfId="0" applyNumberFormat="1" applyFont="1" applyBorder="1" applyAlignment="1">
      <alignment horizontal="right" vertical="top"/>
    </xf>
    <xf numFmtId="1" fontId="13" fillId="0" borderId="37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8" xfId="0" applyNumberFormat="1" applyFont="1" applyBorder="1" applyAlignment="1">
      <alignment horizontal="right" vertical="center" indent="1"/>
    </xf>
    <xf numFmtId="0" fontId="2" fillId="0" borderId="3" xfId="0" applyFont="1" applyBorder="1"/>
    <xf numFmtId="3" fontId="12" fillId="0" borderId="0" xfId="0" applyNumberFormat="1" applyFont="1" applyAlignment="1">
      <alignment horizontal="left" wrapText="1"/>
    </xf>
    <xf numFmtId="1" fontId="18" fillId="0" borderId="0" xfId="0" applyNumberFormat="1" applyFont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2" borderId="46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3" fontId="2" fillId="0" borderId="47" xfId="0" applyNumberFormat="1" applyFont="1" applyBorder="1" applyAlignment="1">
      <alignment horizontal="right" vertical="center" wrapText="1"/>
    </xf>
    <xf numFmtId="3" fontId="8" fillId="0" borderId="44" xfId="0" applyNumberFormat="1" applyFont="1" applyBorder="1" applyAlignment="1">
      <alignment horizontal="right" vertical="center"/>
    </xf>
    <xf numFmtId="3" fontId="18" fillId="0" borderId="47" xfId="0" applyNumberFormat="1" applyFont="1" applyBorder="1" applyAlignment="1">
      <alignment horizontal="right" vertical="center" wrapText="1"/>
    </xf>
    <xf numFmtId="3" fontId="30" fillId="0" borderId="0" xfId="0" applyNumberFormat="1" applyFont="1"/>
    <xf numFmtId="3" fontId="2" fillId="0" borderId="19" xfId="0" applyNumberFormat="1" applyFont="1" applyBorder="1"/>
    <xf numFmtId="0" fontId="29" fillId="0" borderId="0" xfId="0" applyFont="1" applyAlignment="1">
      <alignment vertical="center"/>
    </xf>
    <xf numFmtId="0" fontId="4" fillId="3" borderId="4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1" fontId="8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6" fillId="3" borderId="8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164" fontId="2" fillId="0" borderId="35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2" fillId="0" borderId="25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0" fontId="13" fillId="0" borderId="44" xfId="0" applyFont="1" applyBorder="1" applyAlignment="1">
      <alignment horizontal="left" vertical="center"/>
    </xf>
    <xf numFmtId="1" fontId="8" fillId="0" borderId="44" xfId="0" applyNumberFormat="1" applyFont="1" applyBorder="1" applyAlignment="1">
      <alignment horizontal="right" vertical="center"/>
    </xf>
    <xf numFmtId="3" fontId="13" fillId="0" borderId="44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3" fontId="8" fillId="0" borderId="26" xfId="0" applyNumberFormat="1" applyFont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9" fontId="2" fillId="0" borderId="22" xfId="0" applyNumberFormat="1" applyFont="1" applyBorder="1"/>
    <xf numFmtId="0" fontId="12" fillId="0" borderId="32" xfId="0" applyFont="1" applyBorder="1" applyAlignment="1">
      <alignment vertical="top" wrapText="1"/>
    </xf>
    <xf numFmtId="3" fontId="8" fillId="0" borderId="37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34" fillId="0" borderId="14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2" fillId="0" borderId="32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0" borderId="38" xfId="0" applyFont="1" applyBorder="1" applyAlignment="1">
      <alignment horizontal="left" vertical="center" wrapText="1"/>
    </xf>
    <xf numFmtId="0" fontId="2" fillId="0" borderId="26" xfId="0" applyFont="1" applyBorder="1" applyAlignment="1">
      <alignment vertical="center"/>
    </xf>
    <xf numFmtId="3" fontId="2" fillId="0" borderId="47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10" fillId="0" borderId="38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3" fontId="2" fillId="0" borderId="46" xfId="0" applyNumberFormat="1" applyFont="1" applyBorder="1" applyAlignment="1">
      <alignment horizontal="right" vertical="center" indent="1"/>
    </xf>
    <xf numFmtId="3" fontId="23" fillId="0" borderId="24" xfId="0" applyNumberFormat="1" applyFont="1" applyBorder="1" applyAlignment="1">
      <alignment vertical="center"/>
    </xf>
    <xf numFmtId="0" fontId="12" fillId="0" borderId="38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3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1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5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12" fillId="0" borderId="7" xfId="0" applyFont="1" applyBorder="1" applyAlignment="1">
      <alignment horizontal="left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3" fontId="12" fillId="0" borderId="0" xfId="0" applyNumberFormat="1" applyFont="1" applyAlignment="1">
      <alignment horizontal="left" wrapText="1"/>
    </xf>
    <xf numFmtId="0" fontId="12" fillId="0" borderId="32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6" fillId="2" borderId="46" xfId="0" applyFont="1" applyFill="1" applyBorder="1" applyAlignment="1">
      <alignment horizontal="center" vertical="center"/>
    </xf>
  </cellXfs>
  <cellStyles count="2">
    <cellStyle name="20 % - uthevingsfarge 3" xfId="1" xr:uid="{0832BACC-595E-458B-BAA8-626ED64E914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38" zoomScale="112" zoomScaleNormal="55" zoomScaleSheetLayoutView="100" zoomScalePageLayoutView="85" workbookViewId="0">
      <selection activeCell="C43" sqref="C43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41587</v>
      </c>
      <c r="F22" s="27">
        <f t="shared" ref="F22:I22" si="0">F24+F23</f>
        <v>933.58957999999996</v>
      </c>
      <c r="G22" s="27">
        <f t="shared" si="0"/>
        <v>35356.474139999998</v>
      </c>
      <c r="H22" s="10">
        <f t="shared" si="0"/>
        <v>6230.5258600000006</v>
      </c>
      <c r="I22" s="10">
        <f t="shared" si="0"/>
        <v>53282.862589999997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40825</v>
      </c>
      <c r="F23" s="22">
        <f>933.58958</f>
        <v>933.58957999999996</v>
      </c>
      <c r="G23" s="22">
        <f>34787.78559</f>
        <v>34787.78559</v>
      </c>
      <c r="H23" s="22">
        <f>E23-G23</f>
        <v>6037.2144100000005</v>
      </c>
      <c r="I23" s="22">
        <f>52722.20087</f>
        <v>52722.200870000001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762</v>
      </c>
      <c r="F24" s="165">
        <f>0</f>
        <v>0</v>
      </c>
      <c r="G24" s="22">
        <f>568.68855</f>
        <v>568.68854999999996</v>
      </c>
      <c r="H24" s="22">
        <f>E24-G24</f>
        <v>193.31145000000004</v>
      </c>
      <c r="I24" s="22">
        <f>560.66172</f>
        <v>560.66171999999995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121732</v>
      </c>
      <c r="F25" s="27">
        <f t="shared" ref="F25:I25" si="1">F33+F32+F26</f>
        <v>1101.4107100000001</v>
      </c>
      <c r="G25" s="10">
        <f t="shared" si="1"/>
        <v>117768.06765000001</v>
      </c>
      <c r="H25" s="10">
        <f t="shared" si="1"/>
        <v>3963.932350000001</v>
      </c>
      <c r="I25" s="10">
        <f t="shared" si="1"/>
        <v>134831.18504000001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94863</v>
      </c>
      <c r="F26" s="129">
        <f>F27+F28+F29+F30+F31</f>
        <v>769.65814999999998</v>
      </c>
      <c r="G26" s="129">
        <f>G27+G28+G29+G30+G31</f>
        <v>92474.092800000013</v>
      </c>
      <c r="H26" s="129">
        <f t="shared" ref="H26:I26" si="2">H27+H28+H29+H30+H31</f>
        <v>2388.9072000000015</v>
      </c>
      <c r="I26" s="129">
        <f t="shared" si="2"/>
        <v>107245.70435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25143</v>
      </c>
      <c r="F27" s="209">
        <f>337.06141 - F53</f>
        <v>54.061410000000024</v>
      </c>
      <c r="G27" s="123">
        <f>26124.79589 - G53</f>
        <v>23371.795890000001</v>
      </c>
      <c r="H27" s="123">
        <f t="shared" ref="H27:H39" si="3">E27-G27</f>
        <v>1771.2041099999988</v>
      </c>
      <c r="I27" s="123">
        <f>28391.44902 - I53</f>
        <v>26324.44902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23988</v>
      </c>
      <c r="F28" s="123">
        <f>291.99964 - F54</f>
        <v>58.999639999999999</v>
      </c>
      <c r="G28" s="123">
        <f>25958.79701 - G54</f>
        <v>23266.797009999998</v>
      </c>
      <c r="H28" s="123">
        <f t="shared" si="3"/>
        <v>721.20299000000159</v>
      </c>
      <c r="I28" s="123">
        <f>30855.92975 - I54</f>
        <v>28490.929749999999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21861</v>
      </c>
      <c r="F29" s="123">
        <f>92.65096 - F55</f>
        <v>-37.349040000000002</v>
      </c>
      <c r="G29" s="123">
        <f>23758.26812 - G55</f>
        <v>21819.268120000001</v>
      </c>
      <c r="H29" s="123">
        <f t="shared" si="3"/>
        <v>41.731879999999364</v>
      </c>
      <c r="I29" s="123">
        <f>27592.52649 - I55</f>
        <v>26077.52649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15640</v>
      </c>
      <c r="F30" s="123">
        <f>47.94614 - F56</f>
        <v>4.9461399999999998</v>
      </c>
      <c r="G30" s="123">
        <f>16632.23178 - G56</f>
        <v>15522.231779999998</v>
      </c>
      <c r="H30" s="123">
        <f t="shared" si="3"/>
        <v>117.76822000000175</v>
      </c>
      <c r="I30" s="123">
        <f>20405.79909 - I56</f>
        <v>19070.79909</v>
      </c>
      <c r="J30" s="63"/>
    </row>
    <row r="31" spans="1:10" ht="14.1" customHeight="1" x14ac:dyDescent="0.2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689</v>
      </c>
      <c r="G31" s="123">
        <f>G52</f>
        <v>8494</v>
      </c>
      <c r="H31" s="123">
        <f>E31-G31</f>
        <v>-263</v>
      </c>
      <c r="I31" s="123">
        <f>I52</f>
        <v>7282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55">
        <v>13691</v>
      </c>
      <c r="F32" s="129">
        <f>75.91092</f>
        <v>75.910920000000004</v>
      </c>
      <c r="G32" s="129">
        <f>12168.14614</f>
        <v>12168.146140000001</v>
      </c>
      <c r="H32" s="129">
        <f t="shared" si="3"/>
        <v>1522.8538599999993</v>
      </c>
      <c r="I32" s="129">
        <f>14825.44648</f>
        <v>14825.446480000001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13178</v>
      </c>
      <c r="F33" s="129">
        <f>F34+F35</f>
        <v>255.84163999999998</v>
      </c>
      <c r="G33" s="129">
        <f>G34+G35</f>
        <v>13125.82871</v>
      </c>
      <c r="H33" s="129">
        <f t="shared" si="3"/>
        <v>52.171290000000226</v>
      </c>
      <c r="I33" s="129">
        <f>I34+I35</f>
        <v>12760.03421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61">
        <v>12218</v>
      </c>
      <c r="F34" s="123">
        <f>297.84164 - F57 - F58</f>
        <v>68.841639999999984</v>
      </c>
      <c r="G34" s="129">
        <f>15457.82871 - G57 - G58</f>
        <v>11401.82871</v>
      </c>
      <c r="H34" s="123">
        <f t="shared" si="3"/>
        <v>816.17129000000023</v>
      </c>
      <c r="I34" s="123">
        <f>15694.03421 - I57 - I58</f>
        <v>11695.03421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187</v>
      </c>
      <c r="G35" s="67">
        <f>G57</f>
        <v>1724</v>
      </c>
      <c r="H35" s="67">
        <f t="shared" si="3"/>
        <v>-764</v>
      </c>
      <c r="I35" s="67">
        <f>I57</f>
        <v>1065</v>
      </c>
      <c r="J35" s="63"/>
    </row>
    <row r="36" spans="1:10" ht="15.75" customHeight="1" x14ac:dyDescent="0.2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33</v>
      </c>
      <c r="D37" s="140">
        <v>855</v>
      </c>
      <c r="E37" s="140">
        <v>855</v>
      </c>
      <c r="F37" s="95">
        <f>8.90022</f>
        <v>8.9002199999999991</v>
      </c>
      <c r="G37" s="95">
        <f>774.51849</f>
        <v>774.51849000000004</v>
      </c>
      <c r="H37" s="95">
        <f t="shared" si="3"/>
        <v>80.481509999999957</v>
      </c>
      <c r="I37" s="95">
        <f>534.12536</f>
        <v>534.12536</v>
      </c>
      <c r="J37" s="267"/>
    </row>
    <row r="38" spans="1:10" ht="17.25" customHeight="1" x14ac:dyDescent="0.2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42</v>
      </c>
      <c r="G38" s="95">
        <f>G58</f>
        <v>2332</v>
      </c>
      <c r="H38" s="95">
        <f t="shared" si="3"/>
        <v>668</v>
      </c>
      <c r="I38" s="95">
        <f>I58</f>
        <v>2934</v>
      </c>
      <c r="J38" s="267"/>
    </row>
    <row r="39" spans="1:10" ht="17.25" customHeight="1" x14ac:dyDescent="0.25">
      <c r="A39" s="1"/>
      <c r="B39" s="277"/>
      <c r="C39" s="70" t="s">
        <v>35</v>
      </c>
      <c r="D39" s="140">
        <v>7000</v>
      </c>
      <c r="E39" s="140">
        <v>7000</v>
      </c>
      <c r="F39" s="95">
        <f>4.77793</f>
        <v>4.7779299999999996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37</v>
      </c>
      <c r="D40" s="140">
        <v>450</v>
      </c>
      <c r="E40" s="140">
        <v>450</v>
      </c>
      <c r="F40" s="95">
        <f>0.86882</f>
        <v>0.86882000000000004</v>
      </c>
      <c r="G40" s="95">
        <f>392.68067</f>
        <v>392.68067000000002</v>
      </c>
      <c r="H40" s="95">
        <f>E40-G40</f>
        <v>57.319329999999979</v>
      </c>
      <c r="I40" s="95">
        <f>375.71573</f>
        <v>375.71573000000001</v>
      </c>
      <c r="J40" s="267"/>
    </row>
    <row r="41" spans="1:10" ht="14.1" customHeight="1" x14ac:dyDescent="0.25">
      <c r="A41" s="1"/>
      <c r="B41" s="277"/>
      <c r="C41" s="70" t="s">
        <v>38</v>
      </c>
      <c r="D41" s="140"/>
      <c r="E41" s="136"/>
      <c r="F41" s="136">
        <f>1.30272</f>
        <v>1.3027200000000001</v>
      </c>
      <c r="G41" s="136">
        <f>190.71709</f>
        <v>190.71709000000001</v>
      </c>
      <c r="H41" s="136">
        <f t="shared" ref="H41" si="4">E41-G41</f>
        <v>-190.71709000000001</v>
      </c>
      <c r="I41" s="136">
        <f>169.73588</f>
        <v>169.73588000000001</v>
      </c>
      <c r="J41" s="267"/>
    </row>
    <row r="42" spans="1:10" ht="16.5" customHeight="1" x14ac:dyDescent="0.2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175624</v>
      </c>
      <c r="F42" s="73">
        <f t="shared" ref="F42:I42" si="5">F22+F25+F36+F37+F38+F39+F40+F41</f>
        <v>2092.8499800000004</v>
      </c>
      <c r="G42" s="73">
        <f t="shared" si="5"/>
        <v>164094.71444000001</v>
      </c>
      <c r="H42" s="73">
        <f t="shared" si="5"/>
        <v>11529.28556</v>
      </c>
      <c r="I42" s="73">
        <f t="shared" si="5"/>
        <v>199475.98580000002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689</v>
      </c>
      <c r="G52" s="10">
        <f>G56+G55+G54+G53</f>
        <v>8494</v>
      </c>
      <c r="H52" s="329">
        <f>E52-G52</f>
        <v>-263</v>
      </c>
      <c r="I52" s="10">
        <f>I56+I55+I54+I53</f>
        <v>7282</v>
      </c>
      <c r="J52" s="117"/>
    </row>
    <row r="53" spans="1:10" ht="14.1" customHeight="1" x14ac:dyDescent="0.25">
      <c r="A53" s="101"/>
      <c r="B53" s="24"/>
      <c r="C53" s="60" t="s">
        <v>24</v>
      </c>
      <c r="D53" s="330"/>
      <c r="E53" s="330"/>
      <c r="F53" s="123">
        <v>283</v>
      </c>
      <c r="G53" s="123">
        <v>2753</v>
      </c>
      <c r="H53" s="330"/>
      <c r="I53" s="123">
        <v>2067</v>
      </c>
      <c r="J53" s="117"/>
    </row>
    <row r="54" spans="1:10" ht="14.1" customHeight="1" x14ac:dyDescent="0.25">
      <c r="A54" s="101"/>
      <c r="B54" s="24"/>
      <c r="C54" s="60" t="s">
        <v>25</v>
      </c>
      <c r="D54" s="330"/>
      <c r="E54" s="330"/>
      <c r="F54" s="123">
        <v>233</v>
      </c>
      <c r="G54" s="123">
        <v>2692</v>
      </c>
      <c r="H54" s="330"/>
      <c r="I54" s="123">
        <v>2365</v>
      </c>
      <c r="J54" s="267"/>
    </row>
    <row r="55" spans="1:10" ht="14.1" customHeight="1" x14ac:dyDescent="0.25">
      <c r="A55" s="101"/>
      <c r="B55" s="24"/>
      <c r="C55" s="60" t="s">
        <v>26</v>
      </c>
      <c r="D55" s="330"/>
      <c r="E55" s="330"/>
      <c r="F55" s="123">
        <v>130</v>
      </c>
      <c r="G55" s="123">
        <v>1939</v>
      </c>
      <c r="H55" s="330"/>
      <c r="I55" s="123">
        <v>1515</v>
      </c>
      <c r="J55" s="117"/>
    </row>
    <row r="56" spans="1:10" ht="14.1" customHeight="1" thickBot="1" x14ac:dyDescent="0.3">
      <c r="A56" s="101"/>
      <c r="B56" s="24"/>
      <c r="C56" s="84" t="s">
        <v>27</v>
      </c>
      <c r="D56" s="331"/>
      <c r="E56" s="331"/>
      <c r="F56" s="186">
        <v>43</v>
      </c>
      <c r="G56" s="186">
        <v>1110</v>
      </c>
      <c r="H56" s="331"/>
      <c r="I56" s="186">
        <v>1335</v>
      </c>
      <c r="J56" s="117"/>
    </row>
    <row r="57" spans="1:10" ht="14.1" customHeight="1" thickBot="1" x14ac:dyDescent="0.3">
      <c r="A57" s="101"/>
      <c r="B57" s="24"/>
      <c r="C57" s="85" t="s">
        <v>43</v>
      </c>
      <c r="D57" s="92">
        <v>960</v>
      </c>
      <c r="E57" s="92">
        <v>960</v>
      </c>
      <c r="F57" s="92">
        <v>187</v>
      </c>
      <c r="G57" s="92">
        <v>1724</v>
      </c>
      <c r="H57" s="92">
        <f>E57-G57</f>
        <v>-764</v>
      </c>
      <c r="I57" s="92">
        <v>1065</v>
      </c>
      <c r="J57" s="267"/>
    </row>
    <row r="58" spans="1:10" ht="14.1" customHeight="1" thickBot="1" x14ac:dyDescent="0.3">
      <c r="A58" s="101"/>
      <c r="B58" s="24"/>
      <c r="C58" s="139" t="s">
        <v>44</v>
      </c>
      <c r="D58" s="136">
        <v>3000</v>
      </c>
      <c r="E58" s="136">
        <v>3000</v>
      </c>
      <c r="F58" s="136">
        <v>42</v>
      </c>
      <c r="G58" s="136">
        <v>2332</v>
      </c>
      <c r="H58" s="136">
        <f>E58-G58</f>
        <v>668</v>
      </c>
      <c r="I58" s="136">
        <v>2934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2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26122</v>
      </c>
      <c r="F79" s="10">
        <f t="shared" ref="F79:I79" si="6">F81+F80</f>
        <v>431.74914999999999</v>
      </c>
      <c r="G79" s="10">
        <f t="shared" si="6"/>
        <v>24221.58236</v>
      </c>
      <c r="H79" s="10">
        <f t="shared" si="6"/>
        <v>1900.4176399999983</v>
      </c>
      <c r="I79" s="10">
        <f t="shared" si="6"/>
        <v>25194.943080000001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25297</v>
      </c>
      <c r="F80" s="22">
        <f>431.74915</f>
        <v>431.74914999999999</v>
      </c>
      <c r="G80" s="22">
        <f>23596.32035</f>
        <v>23596.320350000002</v>
      </c>
      <c r="H80" s="22">
        <f>E80-G80</f>
        <v>1700.6796499999982</v>
      </c>
      <c r="I80" s="22">
        <f>24389.90633</f>
        <v>24389.906330000002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625.26201</f>
        <v>625.26201000000003</v>
      </c>
      <c r="H81" s="48">
        <f>E81-G81</f>
        <v>199.73798999999997</v>
      </c>
      <c r="I81" s="48">
        <f>805.03675</f>
        <v>805.03674999999998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44110</v>
      </c>
      <c r="F82" s="10">
        <f t="shared" ref="F82:I82" si="7">F83+F88+F89</f>
        <v>371.75729999999999</v>
      </c>
      <c r="G82" s="10">
        <f t="shared" si="7"/>
        <v>39096.984079999995</v>
      </c>
      <c r="H82" s="10">
        <f t="shared" si="7"/>
        <v>5013.015919999998</v>
      </c>
      <c r="I82" s="10">
        <f t="shared" si="7"/>
        <v>44102.222750000001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32486</v>
      </c>
      <c r="F83" s="129">
        <f t="shared" ref="F83:I83" si="8">F84+F85+F86+F87</f>
        <v>297.79871000000003</v>
      </c>
      <c r="G83" s="129">
        <f t="shared" si="8"/>
        <v>30281.72723</v>
      </c>
      <c r="H83" s="129">
        <f t="shared" si="8"/>
        <v>2204.2727699999987</v>
      </c>
      <c r="I83" s="129">
        <f t="shared" si="8"/>
        <v>34509.257239999999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173.07823</f>
        <v>173.07822999999999</v>
      </c>
      <c r="G84" s="123">
        <f>5226.99597</f>
        <v>5226.9959699999999</v>
      </c>
      <c r="H84" s="123">
        <f t="shared" ref="H84:H91" si="9">E84-G84</f>
        <v>3777.0040300000001</v>
      </c>
      <c r="I84" s="123">
        <f>6228.13552</f>
        <v>6228.1355199999998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61">
        <v>9068</v>
      </c>
      <c r="F85" s="123">
        <f>81.1451</f>
        <v>81.145099999999999</v>
      </c>
      <c r="G85" s="123">
        <f>7986.50544</f>
        <v>7986.5054399999999</v>
      </c>
      <c r="H85" s="123">
        <f t="shared" si="9"/>
        <v>1081.4945600000001</v>
      </c>
      <c r="I85" s="123">
        <f>10921.52595</f>
        <v>10921.525949999999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61">
        <v>8642</v>
      </c>
      <c r="F86" s="123">
        <f>29.34642</f>
        <v>29.346419999999998</v>
      </c>
      <c r="G86" s="123">
        <f>8830.68308</f>
        <v>8830.6830800000007</v>
      </c>
      <c r="H86" s="123">
        <f t="shared" si="9"/>
        <v>-188.6830800000007</v>
      </c>
      <c r="I86" s="123">
        <f>10253.53532</f>
        <v>10253.535320000001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5772</v>
      </c>
      <c r="F87" s="123">
        <f>14.22896</f>
        <v>14.228960000000001</v>
      </c>
      <c r="G87" s="123">
        <f>8237.54274</f>
        <v>8237.5427400000008</v>
      </c>
      <c r="H87" s="123">
        <f t="shared" si="9"/>
        <v>-2465.5427400000008</v>
      </c>
      <c r="I87" s="123">
        <f>7106.06045</f>
        <v>7106.0604499999999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55">
        <v>8117</v>
      </c>
      <c r="F88" s="129">
        <f>0.01824</f>
        <v>1.8239999999999999E-2</v>
      </c>
      <c r="G88" s="129">
        <f>6061.74016</f>
        <v>6061.7401600000003</v>
      </c>
      <c r="H88" s="129">
        <f t="shared" si="9"/>
        <v>2055.2598399999997</v>
      </c>
      <c r="I88" s="129">
        <f>6769.18032</f>
        <v>6769.1803200000004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73.94035</f>
        <v>73.940349999999995</v>
      </c>
      <c r="G89" s="72">
        <f>2753.51669</f>
        <v>2753.5166899999999</v>
      </c>
      <c r="H89" s="72">
        <f t="shared" si="9"/>
        <v>753.48331000000007</v>
      </c>
      <c r="I89" s="72">
        <f>2823.78519</f>
        <v>2823.7851900000001</v>
      </c>
      <c r="J89" s="267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0.03306</f>
        <v>3.3059999999999999E-2</v>
      </c>
      <c r="G90" s="95">
        <f>44.99275</f>
        <v>44.992750000000001</v>
      </c>
      <c r="H90" s="95">
        <f t="shared" si="9"/>
        <v>274.00725</v>
      </c>
      <c r="I90" s="95">
        <f>39.06244</f>
        <v>39.062440000000002</v>
      </c>
      <c r="J90" s="267"/>
    </row>
    <row r="91" spans="1:10" ht="18" customHeight="1" x14ac:dyDescent="0.25">
      <c r="A91" s="1"/>
      <c r="B91" s="277"/>
      <c r="C91" s="70" t="s">
        <v>51</v>
      </c>
      <c r="D91" s="140">
        <v>300</v>
      </c>
      <c r="E91" s="140">
        <v>300</v>
      </c>
      <c r="F91" s="136">
        <f>1.33533</f>
        <v>1.3353299999999999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37</v>
      </c>
      <c r="D92" s="140">
        <v>50</v>
      </c>
      <c r="E92" s="140">
        <v>50</v>
      </c>
      <c r="F92" s="95">
        <f>0.05726</f>
        <v>5.7259999999999998E-2</v>
      </c>
      <c r="G92" s="95">
        <f>15.53762</f>
        <v>15.53762</v>
      </c>
      <c r="H92" s="136">
        <f>E92-G92</f>
        <v>34.462379999999996</v>
      </c>
      <c r="I92" s="95">
        <f>57.3024</f>
        <v>57.302399999999999</v>
      </c>
      <c r="J92" s="267"/>
    </row>
    <row r="93" spans="1:10" ht="18" customHeight="1" x14ac:dyDescent="0.25">
      <c r="A93" s="1"/>
      <c r="B93" s="277"/>
      <c r="C93" s="89" t="s">
        <v>52</v>
      </c>
      <c r="D93" s="140"/>
      <c r="E93" s="136"/>
      <c r="F93" s="136">
        <f>0</f>
        <v>0</v>
      </c>
      <c r="G93" s="136">
        <f>40.83824</f>
        <v>40.838239999999999</v>
      </c>
      <c r="H93" s="136">
        <f t="shared" ref="H93" si="10">E93-G93</f>
        <v>-40.838239999999999</v>
      </c>
      <c r="I93" s="136">
        <f>167.0154</f>
        <v>167.0154</v>
      </c>
      <c r="J93" s="267"/>
    </row>
    <row r="94" spans="1:10" ht="16.5" customHeight="1" x14ac:dyDescent="0.2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70901</v>
      </c>
      <c r="F94" s="73">
        <f t="shared" ref="F94:I94" si="12">F79+F82+F90+F91+F92+F93</f>
        <v>804.93209999999999</v>
      </c>
      <c r="G94" s="73">
        <f t="shared" si="12"/>
        <v>63719.935049999993</v>
      </c>
      <c r="H94" s="73">
        <f t="shared" si="12"/>
        <v>7181.0649499999954</v>
      </c>
      <c r="I94" s="73">
        <f t="shared" si="12"/>
        <v>69860.546069999997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593.91632000000004</v>
      </c>
      <c r="G115" s="10">
        <f t="shared" si="13"/>
        <v>48753.43247</v>
      </c>
      <c r="H115" s="10">
        <f t="shared" si="13"/>
        <v>22261.56753</v>
      </c>
      <c r="I115" s="10">
        <f t="shared" si="13"/>
        <v>63681.007300000005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593.91632</f>
        <v>593.91632000000004</v>
      </c>
      <c r="G116" s="22">
        <f>43044.80884</f>
        <v>43044.808839999998</v>
      </c>
      <c r="H116" s="22">
        <f>E116-G116</f>
        <v>13405.191160000002</v>
      </c>
      <c r="I116" s="22">
        <f>56731.55788</f>
        <v>56731.55788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5619.54303</f>
        <v>5619.5430299999998</v>
      </c>
      <c r="H117" s="22">
        <f>E117-G117</f>
        <v>8445.4569699999993</v>
      </c>
      <c r="I117" s="22">
        <f>6872.93527</f>
        <v>6872.9352699999999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89.0806</f>
        <v>89.080600000000004</v>
      </c>
      <c r="H118" s="53">
        <f>E118-G118</f>
        <v>410.9194</v>
      </c>
      <c r="I118" s="22">
        <f>76.51415</f>
        <v>76.514150000000001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0.04</f>
        <v>0.04</v>
      </c>
      <c r="G119" s="92">
        <f>30208.5187+5043.694</f>
        <v>35252.212700000004</v>
      </c>
      <c r="H119" s="92">
        <f>E119-G119</f>
        <v>16177.787299999996</v>
      </c>
      <c r="I119" s="92">
        <f>16582.2978</f>
        <v>16582.2978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1582.8288299999999</v>
      </c>
      <c r="G120" s="91">
        <f t="shared" ref="G120" si="14">G121+G126+G129</f>
        <v>51959.468870000004</v>
      </c>
      <c r="H120" s="91">
        <f>H121+H126+H129</f>
        <v>23085.531129999999</v>
      </c>
      <c r="I120" s="91">
        <f>I121+I126+I129</f>
        <v>78104.905790000004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1314.20435</v>
      </c>
      <c r="G121" s="121">
        <f>G122+G123+G125+G124</f>
        <v>39079.888940000004</v>
      </c>
      <c r="H121" s="121">
        <f>H122+H123+H124+H125</f>
        <v>17279.111059999999</v>
      </c>
      <c r="I121" s="121">
        <f>I122+I123+I124+I125</f>
        <v>61532.73083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303.44449</f>
        <v>303.44448999999997</v>
      </c>
      <c r="G122" s="123">
        <f>10033.80224</f>
        <v>10033.802240000001</v>
      </c>
      <c r="H122" s="123">
        <f>E122-G122</f>
        <v>5982.1977599999991</v>
      </c>
      <c r="I122" s="123">
        <f>12318.60938</f>
        <v>12318.60938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362.28257</f>
        <v>362.28257000000002</v>
      </c>
      <c r="G123" s="123">
        <f>11524.14262-282.9332</f>
        <v>11241.209420000001</v>
      </c>
      <c r="H123" s="123">
        <f>E123-G123</f>
        <v>3612.790579999999</v>
      </c>
      <c r="I123" s="123">
        <f>16104.64398</f>
        <v>16104.643980000001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255.57229</f>
        <v>255.57229000000001</v>
      </c>
      <c r="G124" s="123">
        <f>10540.09594-1026.5583</f>
        <v>9513.5376399999986</v>
      </c>
      <c r="H124" s="123">
        <f>E124-G124</f>
        <v>3358.4623600000014</v>
      </c>
      <c r="I124" s="123">
        <f>16231.42372</f>
        <v>16231.423720000001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392.905</f>
        <v>392.90499999999997</v>
      </c>
      <c r="G125" s="123">
        <f>12025.54214-3734.2025</f>
        <v>8291.3396400000001</v>
      </c>
      <c r="H125" s="123">
        <f>E125-G125</f>
        <v>4325.6603599999999</v>
      </c>
      <c r="I125" s="123">
        <f>16878.05375</f>
        <v>16878.053749999999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74.997599999999991</v>
      </c>
      <c r="G126" s="129">
        <f>SUM(G127:G128)</f>
        <v>6551.2959500000006</v>
      </c>
      <c r="H126" s="129">
        <f>H127+H128</f>
        <v>1190.7040499999998</v>
      </c>
      <c r="I126" s="129">
        <f>SUM(I127:I128)</f>
        <v>9630.3686900000012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74.1852</f>
        <v>74.185199999999995</v>
      </c>
      <c r="G127" s="123">
        <f>6338.91398</f>
        <v>6338.9139800000003</v>
      </c>
      <c r="H127" s="123">
        <f t="shared" ref="H127:H135" si="15">E127-G127</f>
        <v>903.08601999999973</v>
      </c>
      <c r="I127" s="123">
        <f>9154.31155</f>
        <v>9154.3115500000004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0.8124</f>
        <v>0.81240000000000001</v>
      </c>
      <c r="G128" s="123">
        <f>212.38197</f>
        <v>212.38197</v>
      </c>
      <c r="H128" s="123">
        <f t="shared" si="15"/>
        <v>287.61802999999998</v>
      </c>
      <c r="I128" s="123">
        <f>476.05714</f>
        <v>476.05714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193.62688</f>
        <v>193.62688</v>
      </c>
      <c r="G129" s="72">
        <f>6328.28398</f>
        <v>6328.2839800000002</v>
      </c>
      <c r="H129" s="72">
        <f t="shared" si="15"/>
        <v>4615.7160199999998</v>
      </c>
      <c r="I129" s="72">
        <f>6941.80627</f>
        <v>6941.80627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0.03645</f>
        <v>3.6450000000000003E-2</v>
      </c>
      <c r="G130" s="136">
        <f>21.66651</f>
        <v>21.666509999999999</v>
      </c>
      <c r="H130" s="136">
        <f t="shared" si="15"/>
        <v>124.33349</v>
      </c>
      <c r="I130" s="136">
        <f>16.7856</f>
        <v>16.785599999999999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1.368</f>
        <v>1.3680000000000001</v>
      </c>
      <c r="H131" s="95">
        <f t="shared" si="15"/>
        <v>348.63200000000001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4.59553</f>
        <v>4.5955300000000001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0.1732</f>
        <v>0.17319999999999999</v>
      </c>
      <c r="G134" s="95">
        <f>94.46888</f>
        <v>94.468879999999999</v>
      </c>
      <c r="H134" s="136">
        <f t="shared" si="15"/>
        <v>218.53111999999999</v>
      </c>
      <c r="I134" s="95">
        <f>85.87196</f>
        <v>85.871960000000001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0.042</f>
        <v>4.2000000000000003E-2</v>
      </c>
      <c r="G135" s="136">
        <f>278.33759</f>
        <v>278.33758999999998</v>
      </c>
      <c r="H135" s="136">
        <f t="shared" si="15"/>
        <v>-278.33758999999998</v>
      </c>
      <c r="I135" s="136">
        <f>298.72824</f>
        <v>298.72824000000003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2181.6323299999999</v>
      </c>
      <c r="G137" s="73">
        <f>G115+G119+G120+G130+G131+G132+G133+G134+G135</f>
        <v>138360.95502000002</v>
      </c>
      <c r="H137" s="73">
        <f>H115+H119+H120+H130+H131+H132+H133+H134+H135</f>
        <v>61938.044979999991</v>
      </c>
      <c r="I137" s="73">
        <f>I115+I119+I120+I130+I131+I132+I133+I134+I135</f>
        <v>161025.63268999997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57.78365</f>
        <v>57.783650000000002</v>
      </c>
      <c r="F160" s="297">
        <f>1802.71515</f>
        <v>1802.71515</v>
      </c>
      <c r="G160" s="42">
        <f>D160-F160-F161</f>
        <v>435.0325600000001</v>
      </c>
      <c r="H160" s="297">
        <f>1719.35686</f>
        <v>1719.3568600000001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7.01594</f>
        <v>7.0159399999999996</v>
      </c>
      <c r="F161" s="148">
        <f>1524.25229</f>
        <v>1524.2522899999999</v>
      </c>
      <c r="G161" s="219"/>
      <c r="H161" s="148">
        <f>1698.83257</f>
        <v>1698.83257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0.03272</f>
        <v>3.2719999999999999E-2</v>
      </c>
      <c r="F162" s="166">
        <f>100.62787</f>
        <v>100.62787</v>
      </c>
      <c r="G162" s="166">
        <f>D162-F162</f>
        <v>99.372129999999999</v>
      </c>
      <c r="H162" s="166">
        <f>123.93489</f>
        <v>123.93489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7.4244199999999996</v>
      </c>
      <c r="F163" s="175">
        <f>F164+F165+F166</f>
        <v>5512.6980500000009</v>
      </c>
      <c r="G163" s="175">
        <f>D163-F163</f>
        <v>129.30194999999912</v>
      </c>
      <c r="H163" s="175">
        <f>H164+H165+H166</f>
        <v>6001.6165500000006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2.98553</f>
        <v>2.9855299999999998</v>
      </c>
      <c r="F164" s="123">
        <f>3087.70173</f>
        <v>3087.7017300000002</v>
      </c>
      <c r="G164" s="123"/>
      <c r="H164" s="123">
        <f>3093.18031</f>
        <v>3093.1803100000002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2.33654</f>
        <v>2.3365399999999998</v>
      </c>
      <c r="F165" s="123">
        <f>1609.79976</f>
        <v>1609.7997600000001</v>
      </c>
      <c r="G165" s="123"/>
      <c r="H165" s="123">
        <f>1834.39895</f>
        <v>1834.39895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2.10235</f>
        <v>2.1023499999999999</v>
      </c>
      <c r="F166" s="186">
        <f>815.19656</f>
        <v>815.19655999999998</v>
      </c>
      <c r="G166" s="186"/>
      <c r="H166" s="186">
        <f>1074.03729</f>
        <v>1074.03729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5.4845</f>
        <v>5.4844999999999997</v>
      </c>
      <c r="G167" s="136">
        <f>D167-F167</f>
        <v>65.515500000000003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72.25672999999999</v>
      </c>
      <c r="F169" s="188">
        <f>F160+F161+F162+F163+F167+F168</f>
        <v>8945.7778600000001</v>
      </c>
      <c r="G169" s="188">
        <f>D169-F169</f>
        <v>729.22213999999985</v>
      </c>
      <c r="H169" s="188">
        <f>H160+H161+H162+H163+H167+H168</f>
        <v>9543.7408700000015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157.15754</f>
        <v>157.15754000000001</v>
      </c>
      <c r="G189" s="124">
        <f>45665.23888</f>
        <v>45665.238879999997</v>
      </c>
      <c r="H189" s="124">
        <f>E189-G189</f>
        <v>-2330.2388799999972</v>
      </c>
      <c r="I189" s="124">
        <f>44015.52151</f>
        <v>44015.521509999999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0.1116</f>
        <v>0.1116</v>
      </c>
      <c r="G190" s="124">
        <f>50.7391</f>
        <v>50.739100000000001</v>
      </c>
      <c r="H190" s="124">
        <f>E190-G190</f>
        <v>49.260899999999999</v>
      </c>
      <c r="I190" s="124">
        <f>44.75354</f>
        <v>44.753540000000001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157.26914000000002</v>
      </c>
      <c r="G192" s="190">
        <f>SUM(G189:G191)</f>
        <v>45715.977979999996</v>
      </c>
      <c r="H192" s="190">
        <f>E192-G192</f>
        <v>-2244.977979999996</v>
      </c>
      <c r="I192" s="190">
        <f>SUM(I189:I191)</f>
        <v>44060.275049999997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29.328620000000001</v>
      </c>
      <c r="F202" s="72">
        <f>F203+F204</f>
        <v>4159.6760599999998</v>
      </c>
      <c r="G202" s="72">
        <f>D202-F202</f>
        <v>-172.67605999999978</v>
      </c>
      <c r="H202" s="72">
        <f>H203+H204</f>
        <v>4413.9326299999993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7.6824</f>
        <v>7.6824000000000003</v>
      </c>
      <c r="F203" s="72">
        <f>3303.04567</f>
        <v>3303.04567</v>
      </c>
      <c r="G203" s="72"/>
      <c r="H203" s="72">
        <f>3715.903</f>
        <v>3715.9029999999998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21.64622</f>
        <v>21.64622</v>
      </c>
      <c r="F204" s="124">
        <f>856.63039</f>
        <v>856.63039000000003</v>
      </c>
      <c r="G204" s="168"/>
      <c r="H204" s="124">
        <f>698.02963</f>
        <v>698.02963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40.68872</f>
        <v>40.688720000000004</v>
      </c>
      <c r="F205" s="72">
        <f>4987.12605</f>
        <v>4987.1260499999999</v>
      </c>
      <c r="G205" s="72">
        <f>D205-F205</f>
        <v>-374.12604999999985</v>
      </c>
      <c r="H205" s="72">
        <f>5619.61856</f>
        <v>5619.6185599999999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70.017340000000004</v>
      </c>
      <c r="F206" s="190">
        <f>SUM(F202,F205)</f>
        <v>9146.8021100000005</v>
      </c>
      <c r="G206" s="190">
        <f>D206-F206</f>
        <v>-546.80211000000054</v>
      </c>
      <c r="H206" s="190">
        <f>SUM(H202,H205)</f>
        <v>10033.551189999998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20.435479999999998</v>
      </c>
      <c r="F215" s="72">
        <f>F216+F217</f>
        <v>5697.4994200000001</v>
      </c>
      <c r="G215" s="72">
        <f>D215-F215</f>
        <v>-607.4994200000001</v>
      </c>
      <c r="H215" s="72">
        <f>H216+H217</f>
        <v>5521.1178299999992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5.3436</f>
        <v>5.3436000000000003</v>
      </c>
      <c r="F216" s="72">
        <f>5238.21995</f>
        <v>5238.2199499999997</v>
      </c>
      <c r="G216" s="72"/>
      <c r="H216" s="72">
        <f>4936.89435</f>
        <v>4936.8943499999996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15.09188</f>
        <v>15.09188</v>
      </c>
      <c r="F217" s="124">
        <f>459.27947</f>
        <v>459.27947</v>
      </c>
      <c r="G217" s="168"/>
      <c r="H217" s="124">
        <f>584.22348</f>
        <v>584.22348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208.08664</f>
        <v>208.08663999999999</v>
      </c>
      <c r="F218" s="72">
        <f>3728.39885</f>
        <v>3728.39885</v>
      </c>
      <c r="G218" s="72">
        <f>D218-F218</f>
        <v>-747.39885000000004</v>
      </c>
      <c r="H218" s="72">
        <f>3557.64229</f>
        <v>3557.6422899999998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228.52211999999997</v>
      </c>
      <c r="F219" s="190">
        <f>SUM(F215,F218)</f>
        <v>9425.8982699999997</v>
      </c>
      <c r="G219" s="190">
        <f>D219-F219</f>
        <v>-1354.8982699999997</v>
      </c>
      <c r="H219" s="190">
        <f>SUM(H215,H218)</f>
        <v>9078.760119999999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4.32197</f>
        <v>4.3219700000000003</v>
      </c>
      <c r="F237" s="124">
        <f>651.78718</f>
        <v>651.78718000000003</v>
      </c>
      <c r="G237" s="124">
        <f>D237-F237</f>
        <v>148.21281999999997</v>
      </c>
      <c r="H237" s="124">
        <f>699.7479</f>
        <v>699.74789999999996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19.83275</f>
        <v>19.832750000000001</v>
      </c>
      <c r="F238" s="124">
        <f>1626.85348</f>
        <v>1626.85348</v>
      </c>
      <c r="G238" s="124">
        <f>D238-F238</f>
        <v>566.14652000000001</v>
      </c>
      <c r="H238" s="124">
        <f>2667.78274</f>
        <v>2667.7827400000001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3.78662</f>
        <v>3.7866200000000001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</f>
        <v>0</v>
      </c>
      <c r="F240" s="168">
        <f>3.26883</f>
        <v>3.2688299999999999</v>
      </c>
      <c r="G240" s="124">
        <f>D240-F240</f>
        <v>-3.2688299999999999</v>
      </c>
      <c r="H240" s="168">
        <f>2.54029</f>
        <v>2.5402900000000002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24.154720000000001</v>
      </c>
      <c r="F241" s="190">
        <f>SUM(F237:F240)</f>
        <v>2284.9631899999999</v>
      </c>
      <c r="G241" s="190">
        <f>D241-F241</f>
        <v>718.03681000000006</v>
      </c>
      <c r="H241" s="190">
        <f>H237+H238+H239+H240</f>
        <v>3373.8575499999997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41.321820000000002</v>
      </c>
      <c r="G262" s="276">
        <f t="shared" si="17"/>
        <v>27559.023720000001</v>
      </c>
      <c r="H262" s="276">
        <f>H266+H265+H264+H263</f>
        <v>176.97627999999895</v>
      </c>
      <c r="I262" s="276">
        <f t="shared" si="17"/>
        <v>20419.49295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31.47546</f>
        <v>31.475460000000002</v>
      </c>
      <c r="G263" s="280">
        <f>18761.38964</f>
        <v>18761.389640000001</v>
      </c>
      <c r="H263" s="280">
        <f t="shared" ref="H263:H267" si="18">E263-G263</f>
        <v>-2091.3896400000012</v>
      </c>
      <c r="I263" s="280">
        <f>13279.42947</f>
        <v>13279.429469999999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3777.79773</f>
        <v>3777.7977299999998</v>
      </c>
      <c r="H264" s="280">
        <f>E264-G264</f>
        <v>561.20227000000023</v>
      </c>
      <c r="I264" s="280">
        <f>2382.55392</f>
        <v>2382.5539199999998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8.77716</f>
        <v>8.7771600000000003</v>
      </c>
      <c r="G265" s="280">
        <f>1807.03076</f>
        <v>1807.0307600000001</v>
      </c>
      <c r="H265" s="280">
        <f t="shared" si="18"/>
        <v>-236.0307600000001</v>
      </c>
      <c r="I265" s="280">
        <f>2199.34485</f>
        <v>2199.34485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1.0692</f>
        <v>1.0691999999999999</v>
      </c>
      <c r="G266" s="280">
        <f>3212.80559</f>
        <v>3212.8055899999999</v>
      </c>
      <c r="H266" s="280">
        <f t="shared" si="18"/>
        <v>1943.1944100000001</v>
      </c>
      <c r="I266" s="280">
        <f>2558.16471</f>
        <v>2558.16471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0.154</f>
        <v>0.154</v>
      </c>
      <c r="G267" s="290">
        <f>4151.72124</f>
        <v>4151.7212399999999</v>
      </c>
      <c r="H267" s="290">
        <f t="shared" si="18"/>
        <v>1348.2787600000001</v>
      </c>
      <c r="I267" s="290">
        <f>2236.75478</f>
        <v>2236.7547800000002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64.54495</v>
      </c>
      <c r="G268" s="291">
        <f>G270+G269</f>
        <v>3916.4285</v>
      </c>
      <c r="H268" s="291">
        <f>E268-G268</f>
        <v>4083.5715</v>
      </c>
      <c r="I268" s="291">
        <f>I270+I269</f>
        <v>4287.6509800000003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546.34314</f>
        <v>546.34313999999995</v>
      </c>
      <c r="H269" s="280"/>
      <c r="I269" s="280">
        <f>1065.82857</f>
        <v>1065.8285699999999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64.54495</f>
        <v>64.54495</v>
      </c>
      <c r="G270" s="299">
        <f>3370.08536</f>
        <v>3370.08536</v>
      </c>
      <c r="H270" s="299"/>
      <c r="I270" s="299">
        <f>3221.82241</f>
        <v>3221.8224100000002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0.7525</f>
        <v>0.75249999999999995</v>
      </c>
      <c r="H271" s="290">
        <f>E271-G271</f>
        <v>12.2475</v>
      </c>
      <c r="I271" s="290">
        <f>0.1565</f>
        <v>0.1565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0.17976</f>
        <v>0.17976</v>
      </c>
      <c r="G272" s="290">
        <f>194.37996</f>
        <v>194.37996000000001</v>
      </c>
      <c r="H272" s="290">
        <f>E272-G272</f>
        <v>-194.37996000000001</v>
      </c>
      <c r="I272" s="290">
        <f>134.60763</f>
        <v>134.60763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106.20053</v>
      </c>
      <c r="G273" s="308">
        <f t="shared" si="19"/>
        <v>35822.305919999999</v>
      </c>
      <c r="H273" s="308">
        <f>H262+H267+H268+H271+H272</f>
        <v>5426.6940799999993</v>
      </c>
      <c r="I273" s="308">
        <f t="shared" si="19"/>
        <v>27078.662840000001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0</v>
      </c>
      <c r="F294" s="25">
        <f>SUM(F295:F296)</f>
        <v>925.70793000000003</v>
      </c>
      <c r="G294" s="82">
        <f>D294-F294</f>
        <v>-146.70793000000003</v>
      </c>
      <c r="H294" s="25">
        <f>SUM(H295:H296)</f>
        <v>1023.20588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684.79675</f>
        <v>684.79674999999997</v>
      </c>
      <c r="G295" s="199"/>
      <c r="H295" s="198">
        <f>778.94708</f>
        <v>778.94708000000003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38.963499999999996</v>
      </c>
      <c r="F297" s="25">
        <f>SUM(F298:F299)</f>
        <v>248.54819999999998</v>
      </c>
      <c r="G297" s="82">
        <f>D297-F297</f>
        <v>530.45180000000005</v>
      </c>
      <c r="H297" s="25">
        <f>SUM(H298:H299)</f>
        <v>340.42934000000002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32.355</f>
        <v>32.354999999999997</v>
      </c>
      <c r="F298" s="29">
        <f>189.2668</f>
        <v>189.26679999999999</v>
      </c>
      <c r="G298" s="94"/>
      <c r="H298" s="29">
        <f>243.828</f>
        <v>243.828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6.6085</f>
        <v>6.6085000000000003</v>
      </c>
      <c r="F299" s="29">
        <f>59.2814</f>
        <v>59.281399999999998</v>
      </c>
      <c r="G299" s="105"/>
      <c r="H299" s="29">
        <f>96.60134</f>
        <v>96.601339999999993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38.963499999999996</v>
      </c>
      <c r="F304" s="39">
        <f>F294+F297+F300+F303</f>
        <v>1174.25613</v>
      </c>
      <c r="G304" s="40">
        <f>D304-F304</f>
        <v>1163.74387</v>
      </c>
      <c r="H304" s="39">
        <f>H294+H297+H300+H303</f>
        <v>1363.6352200000001</v>
      </c>
      <c r="I304" s="26"/>
      <c r="J304" s="127"/>
    </row>
    <row r="305" spans="1:10" ht="42" customHeight="1" x14ac:dyDescent="0.2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25">
      <c r="A322" s="223"/>
      <c r="B322" s="69"/>
      <c r="C322" s="236" t="s">
        <v>151</v>
      </c>
      <c r="D322" s="237">
        <v>248</v>
      </c>
      <c r="E322" s="29">
        <f>1.9799</f>
        <v>1.9799</v>
      </c>
      <c r="F322" s="29">
        <f>1159.28751</f>
        <v>1159.2875100000001</v>
      </c>
      <c r="G322" s="238">
        <f>D322-F322</f>
        <v>-911.28751000000011</v>
      </c>
      <c r="H322" s="29">
        <f>676.62505</f>
        <v>676.62504999999999</v>
      </c>
      <c r="I322" s="242"/>
      <c r="J322" s="127"/>
    </row>
    <row r="323" spans="1:10" ht="17.45" customHeight="1" x14ac:dyDescent="0.25">
      <c r="A323" s="223"/>
      <c r="B323" s="69"/>
      <c r="C323" s="239" t="s">
        <v>152</v>
      </c>
      <c r="D323" s="240">
        <v>22048</v>
      </c>
      <c r="E323" s="29">
        <f>24.42329</f>
        <v>24.423290000000001</v>
      </c>
      <c r="F323" s="29">
        <f>2255.62573</f>
        <v>2255.6257300000002</v>
      </c>
      <c r="G323" s="241">
        <f>D323-F323</f>
        <v>19792.37427</v>
      </c>
      <c r="H323" s="29">
        <f>2309.35625</f>
        <v>2309.3562499999998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26.403190000000002</v>
      </c>
      <c r="F324" s="39">
        <f>F323+F322</f>
        <v>3414.9132400000003</v>
      </c>
      <c r="G324" s="39">
        <f>G323+G322</f>
        <v>18881.086759999998</v>
      </c>
      <c r="H324" s="39">
        <f>H323+H322</f>
        <v>2985.9812999999999</v>
      </c>
      <c r="I324" s="26"/>
      <c r="J324" s="127"/>
    </row>
    <row r="325" spans="1:10" ht="22.5" customHeight="1" x14ac:dyDescent="0.2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2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50&amp;R15.12.2025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2025-12-16T14:09:43Z</dcterms:modified>
</cp:coreProperties>
</file>