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Seksjon for fiskeriregulering - NY MAPPE\mahol\98_diverse\ukestat\"/>
    </mc:Choice>
  </mc:AlternateContent>
  <xr:revisionPtr revIDLastSave="0" documentId="8_{32FC31CE-0932-469C-9817-14C9039AE0CE}" xr6:coauthVersionLast="47" xr6:coauthVersionMax="47" xr10:uidLastSave="{00000000-0000-0000-0000-000000000000}"/>
  <bookViews>
    <workbookView xWindow="33600" yWindow="750" windowWidth="22590" windowHeight="1327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55" i="1"/>
  <c r="I32" i="1" s="1"/>
  <c r="H422" i="1"/>
  <c r="G422" i="1"/>
  <c r="F422" i="1"/>
  <c r="E422" i="1"/>
  <c r="H421" i="1"/>
  <c r="F421" i="1"/>
  <c r="F419" i="1" s="1"/>
  <c r="G419" i="1" s="1"/>
  <c r="E421" i="1"/>
  <c r="H420" i="1"/>
  <c r="H419" i="1" s="1"/>
  <c r="F420" i="1"/>
  <c r="E420" i="1"/>
  <c r="E419" i="1"/>
  <c r="H418" i="1"/>
  <c r="F418" i="1"/>
  <c r="E418" i="1"/>
  <c r="H417" i="1"/>
  <c r="F417" i="1"/>
  <c r="F416" i="1" s="1"/>
  <c r="G416" i="1" s="1"/>
  <c r="E417" i="1"/>
  <c r="E416" i="1" s="1"/>
  <c r="H416" i="1"/>
  <c r="H415" i="1"/>
  <c r="F415" i="1"/>
  <c r="E415" i="1"/>
  <c r="H414" i="1"/>
  <c r="F414" i="1"/>
  <c r="F413" i="1" s="1"/>
  <c r="E414" i="1"/>
  <c r="E413" i="1" s="1"/>
  <c r="E423" i="1" s="1"/>
  <c r="H413" i="1"/>
  <c r="I390" i="1"/>
  <c r="G390" i="1"/>
  <c r="H390" i="1" s="1"/>
  <c r="F390" i="1"/>
  <c r="I389" i="1"/>
  <c r="H389" i="1"/>
  <c r="G389" i="1"/>
  <c r="F389" i="1"/>
  <c r="I388" i="1"/>
  <c r="I386" i="1" s="1"/>
  <c r="G388" i="1"/>
  <c r="G386" i="1" s="1"/>
  <c r="H386" i="1" s="1"/>
  <c r="F388" i="1"/>
  <c r="F386" i="1" s="1"/>
  <c r="I387" i="1"/>
  <c r="G387" i="1"/>
  <c r="F387" i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H380" i="1" s="1"/>
  <c r="H391" i="1" s="1"/>
  <c r="G383" i="1"/>
  <c r="F383" i="1"/>
  <c r="F380" i="1" s="1"/>
  <c r="I382" i="1"/>
  <c r="H382" i="1"/>
  <c r="G382" i="1"/>
  <c r="F382" i="1"/>
  <c r="I381" i="1"/>
  <c r="H381" i="1"/>
  <c r="G381" i="1"/>
  <c r="F381" i="1"/>
  <c r="G380" i="1"/>
  <c r="G391" i="1" s="1"/>
  <c r="D380" i="1"/>
  <c r="D391" i="1" s="1"/>
  <c r="H372" i="1"/>
  <c r="F372" i="1"/>
  <c r="F354" i="1"/>
  <c r="D354" i="1"/>
  <c r="G354" i="1" s="1"/>
  <c r="H353" i="1"/>
  <c r="G353" i="1"/>
  <c r="F353" i="1"/>
  <c r="E353" i="1"/>
  <c r="H352" i="1"/>
  <c r="G352" i="1"/>
  <c r="F352" i="1"/>
  <c r="E352" i="1"/>
  <c r="H351" i="1"/>
  <c r="H354" i="1" s="1"/>
  <c r="G351" i="1"/>
  <c r="F351" i="1"/>
  <c r="E351" i="1"/>
  <c r="H350" i="1"/>
  <c r="G350" i="1"/>
  <c r="F350" i="1"/>
  <c r="E350" i="1"/>
  <c r="E354" i="1" s="1"/>
  <c r="D343" i="1"/>
  <c r="D299" i="1"/>
  <c r="H298" i="1"/>
  <c r="F298" i="1"/>
  <c r="G298" i="1" s="1"/>
  <c r="E298" i="1"/>
  <c r="H297" i="1"/>
  <c r="F297" i="1"/>
  <c r="E297" i="1"/>
  <c r="E295" i="1" s="1"/>
  <c r="E299" i="1" s="1"/>
  <c r="H296" i="1"/>
  <c r="F296" i="1"/>
  <c r="F295" i="1" s="1"/>
  <c r="E296" i="1"/>
  <c r="H295" i="1"/>
  <c r="H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H249" i="1" s="1"/>
  <c r="H253" i="1" s="1"/>
  <c r="F250" i="1"/>
  <c r="F249" i="1" s="1"/>
  <c r="E250" i="1"/>
  <c r="D207" i="1"/>
  <c r="G207" i="1" s="1"/>
  <c r="H206" i="1"/>
  <c r="F206" i="1"/>
  <c r="G206" i="1" s="1"/>
  <c r="E206" i="1"/>
  <c r="H205" i="1"/>
  <c r="F205" i="1"/>
  <c r="F207" i="1" s="1"/>
  <c r="E205" i="1"/>
  <c r="H204" i="1"/>
  <c r="H207" i="1" s="1"/>
  <c r="F204" i="1"/>
  <c r="G204" i="1" s="1"/>
  <c r="E204" i="1"/>
  <c r="E207" i="1" s="1"/>
  <c r="D184" i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F180" i="1"/>
  <c r="E180" i="1"/>
  <c r="E178" i="1" s="1"/>
  <c r="H179" i="1"/>
  <c r="H178" i="1" s="1"/>
  <c r="F179" i="1"/>
  <c r="F178" i="1" s="1"/>
  <c r="E179" i="1"/>
  <c r="H177" i="1"/>
  <c r="F177" i="1"/>
  <c r="G177" i="1" s="1"/>
  <c r="E177" i="1"/>
  <c r="H176" i="1"/>
  <c r="F176" i="1"/>
  <c r="E176" i="1"/>
  <c r="H175" i="1"/>
  <c r="H184" i="1" s="1"/>
  <c r="G175" i="1"/>
  <c r="F175" i="1"/>
  <c r="E175" i="1"/>
  <c r="D167" i="1"/>
  <c r="D169" i="1" s="1"/>
  <c r="D150" i="1"/>
  <c r="I148" i="1"/>
  <c r="G148" i="1"/>
  <c r="H148" i="1" s="1"/>
  <c r="F148" i="1"/>
  <c r="I147" i="1"/>
  <c r="H147" i="1"/>
  <c r="G147" i="1"/>
  <c r="F147" i="1"/>
  <c r="H146" i="1"/>
  <c r="I145" i="1"/>
  <c r="H145" i="1"/>
  <c r="G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I133" i="1" s="1"/>
  <c r="G140" i="1"/>
  <c r="G139" i="1" s="1"/>
  <c r="F140" i="1"/>
  <c r="F139" i="1"/>
  <c r="E139" i="1"/>
  <c r="D139" i="1"/>
  <c r="I138" i="1"/>
  <c r="H138" i="1"/>
  <c r="F138" i="1"/>
  <c r="F134" i="1" s="1"/>
  <c r="F133" i="1" s="1"/>
  <c r="I137" i="1"/>
  <c r="H137" i="1"/>
  <c r="F137" i="1"/>
  <c r="I136" i="1"/>
  <c r="H136" i="1"/>
  <c r="F136" i="1"/>
  <c r="I135" i="1"/>
  <c r="G134" i="1"/>
  <c r="G133" i="1" s="1"/>
  <c r="F135" i="1"/>
  <c r="I134" i="1"/>
  <c r="E134" i="1"/>
  <c r="E133" i="1" s="1"/>
  <c r="D134" i="1"/>
  <c r="D133" i="1"/>
  <c r="I132" i="1"/>
  <c r="F132" i="1"/>
  <c r="I131" i="1"/>
  <c r="G131" i="1"/>
  <c r="H131" i="1" s="1"/>
  <c r="F131" i="1"/>
  <c r="I130" i="1"/>
  <c r="G130" i="1"/>
  <c r="G128" i="1" s="1"/>
  <c r="F130" i="1"/>
  <c r="I129" i="1"/>
  <c r="I128" i="1" s="1"/>
  <c r="G129" i="1"/>
  <c r="H129" i="1" s="1"/>
  <c r="F129" i="1"/>
  <c r="F128" i="1" s="1"/>
  <c r="E128" i="1"/>
  <c r="D128" i="1"/>
  <c r="C126" i="1"/>
  <c r="I106" i="1"/>
  <c r="G106" i="1"/>
  <c r="H106" i="1" s="1"/>
  <c r="F106" i="1"/>
  <c r="I105" i="1"/>
  <c r="H105" i="1"/>
  <c r="G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I96" i="1" s="1"/>
  <c r="I95" i="1" s="1"/>
  <c r="H97" i="1"/>
  <c r="G97" i="1"/>
  <c r="F97" i="1"/>
  <c r="F96" i="1" s="1"/>
  <c r="F95" i="1" s="1"/>
  <c r="F107" i="1" s="1"/>
  <c r="E96" i="1"/>
  <c r="D96" i="1"/>
  <c r="D95" i="1" s="1"/>
  <c r="D107" i="1" s="1"/>
  <c r="E95" i="1"/>
  <c r="I94" i="1"/>
  <c r="I92" i="1" s="1"/>
  <c r="I107" i="1" s="1"/>
  <c r="H94" i="1"/>
  <c r="G94" i="1"/>
  <c r="F94" i="1"/>
  <c r="I93" i="1"/>
  <c r="G93" i="1"/>
  <c r="H93" i="1" s="1"/>
  <c r="F93" i="1"/>
  <c r="F92" i="1"/>
  <c r="E92" i="1"/>
  <c r="E107" i="1" s="1"/>
  <c r="D92" i="1"/>
  <c r="C89" i="1"/>
  <c r="H85" i="1"/>
  <c r="F85" i="1"/>
  <c r="D85" i="1"/>
  <c r="G61" i="1"/>
  <c r="G60" i="1"/>
  <c r="F55" i="1"/>
  <c r="G55" i="1" s="1"/>
  <c r="E55" i="1"/>
  <c r="F32" i="1" s="1"/>
  <c r="F27" i="1" s="1"/>
  <c r="I43" i="1"/>
  <c r="G43" i="1"/>
  <c r="H43" i="1" s="1"/>
  <c r="F43" i="1"/>
  <c r="H4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G34" i="1" s="1"/>
  <c r="F35" i="1"/>
  <c r="E35" i="1"/>
  <c r="H35" i="1" s="1"/>
  <c r="F34" i="1"/>
  <c r="D34" i="1"/>
  <c r="I33" i="1"/>
  <c r="H33" i="1"/>
  <c r="G33" i="1"/>
  <c r="F33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F28" i="1"/>
  <c r="E27" i="1"/>
  <c r="E26" i="1" s="1"/>
  <c r="D27" i="1"/>
  <c r="D26" i="1"/>
  <c r="I25" i="1"/>
  <c r="G25" i="1"/>
  <c r="H25" i="1" s="1"/>
  <c r="H23" i="1" s="1"/>
  <c r="F25" i="1"/>
  <c r="I24" i="1"/>
  <c r="H24" i="1"/>
  <c r="G24" i="1"/>
  <c r="F24" i="1"/>
  <c r="F23" i="1" s="1"/>
  <c r="I23" i="1"/>
  <c r="G23" i="1"/>
  <c r="E23" i="1"/>
  <c r="D23" i="1"/>
  <c r="D44" i="1" s="1"/>
  <c r="H16" i="1"/>
  <c r="F16" i="1"/>
  <c r="D16" i="1"/>
  <c r="G32" i="1" l="1"/>
  <c r="H32" i="1" s="1"/>
  <c r="F26" i="1"/>
  <c r="F44" i="1" s="1"/>
  <c r="I34" i="1"/>
  <c r="I27" i="1"/>
  <c r="F423" i="1"/>
  <c r="G413" i="1"/>
  <c r="H34" i="1"/>
  <c r="H96" i="1"/>
  <c r="H95" i="1" s="1"/>
  <c r="G150" i="1"/>
  <c r="F253" i="1"/>
  <c r="G253" i="1" s="1"/>
  <c r="G249" i="1"/>
  <c r="E44" i="1"/>
  <c r="H92" i="1"/>
  <c r="H107" i="1" s="1"/>
  <c r="G178" i="1"/>
  <c r="F184" i="1"/>
  <c r="G184" i="1" s="1"/>
  <c r="E150" i="1"/>
  <c r="G295" i="1"/>
  <c r="F299" i="1"/>
  <c r="G299" i="1"/>
  <c r="F391" i="1"/>
  <c r="I150" i="1"/>
  <c r="E184" i="1"/>
  <c r="F150" i="1"/>
  <c r="H423" i="1"/>
  <c r="H28" i="1"/>
  <c r="G92" i="1"/>
  <c r="G107" i="1" s="1"/>
  <c r="H140" i="1"/>
  <c r="H139" i="1" s="1"/>
  <c r="H130" i="1"/>
  <c r="H128" i="1" s="1"/>
  <c r="G205" i="1"/>
  <c r="H135" i="1"/>
  <c r="H134" i="1" s="1"/>
  <c r="G96" i="1"/>
  <c r="G95" i="1" s="1"/>
  <c r="H27" i="1" l="1"/>
  <c r="G27" i="1"/>
  <c r="G26" i="1" s="1"/>
  <c r="G44" i="1" s="1"/>
  <c r="I26" i="1"/>
  <c r="I44" i="1" s="1"/>
  <c r="H26" i="1"/>
  <c r="H44" i="1" s="1"/>
  <c r="H133" i="1"/>
  <c r="H150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<sst xmlns="http://schemas.openxmlformats.org/spreadsheetml/2006/main" count="359" uniqueCount="152">
  <si>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</si>
  <si>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</si>
  <si>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</si>
  <si>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</si>
  <si>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</si>
  <si>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</si>
  <si>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</si>
  <si>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</si>
  <si>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</si>
  <si>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</si>
  <si>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</si>
  <si>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</si>
  <si>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</si>
  <si>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</si>
  <si>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</si>
  <si>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</si>
  <si>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</si>
  <si>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</si>
  <si>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</si>
  <si>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</si>
  <si>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</si>
  <si>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</si>
  <si>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</si>
  <si>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</si>
  <si>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</si>
  <si>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</si>
  <si>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</si>
  <si>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</si>
  <si>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</si>
  <si>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</si>
  <si>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</si>
  <si>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</si>
  <si>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</si>
  <si>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</si>
  <si>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</si>
  <si>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</si>
  <si>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</si>
  <si>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</si>
  <si>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</si>
  <si>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</si>
  <si>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</si>
  <si>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</si>
  <si>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</si>
  <si>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</si>
  <si>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</si>
  <si>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</si>
  <si>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</si>
  <si>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</si>
  <si>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</si>
  <si>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</si>
  <si>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</si>
  <si>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</si>
  <si>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</si>
  <si>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</si>
  <si>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</si>
  <si>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</si>
  <si>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</si>
  <si>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</si>
  <si>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</si>
  <si>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</si>
  <si>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</si>
  <si>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</si>
  <si>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</si>
  <si>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</si>
  <si>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</si>
  <si>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</si>
  <si>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</si>
  <si>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</si>
  <si>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</si>
  <si>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</si>
  <si>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</si>
  <si>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</si>
  <si>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</si>
  <si>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</si>
  <si>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</si>
  <si>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</si>
  <si>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</si>
  <si>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</si>
  <si>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</si>
  <si>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</si>
  <si>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</si>
  <si>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</si>
  <si>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</si>
  <si>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</si>
  <si>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</si>
  <si>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</si>
  <si>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</si>
  <si>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</si>
  <si>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</si>
  <si>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</si>
  <si>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</si>
  <si>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</si>
  <si>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</si>
  <si>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</si>
  <si>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</si>
  <si>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</si>
  <si>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</si>
  <si>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</si>
  <si>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</si>
  <si>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</si>
  <si>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</si>
  <si>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</si>
  <si>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</si>
  <si>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</si>
  <si>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</si>
  <si>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</si>
  <si>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</si>
  <si>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</si>
  <si>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</si>
  <si>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</si>
  <si>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</si>
  <si>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</si>
  <si>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</si>
  <si>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</si>
  <si>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</si>
  <si>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</si>
  <si>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</si>
  <si>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</si>
  <si>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</si>
  <si>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</si>
  <si>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</si>
  <si>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</si>
  <si>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</si>
  <si>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</si>
  <si>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</si>
  <si>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</si>
  <si>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</si>
  <si>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</si>
  <si>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</si>
  <si>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</si>
  <si>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</si>
  <si>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</si>
  <si>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</si>
  <si>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</si>
  <si>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</si>
  <si>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</si>
  <si>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</si>
  <si>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</si>
  <si>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</si>
  <si>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</si>
  <si>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</si>
  <si>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</si>
  <si>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</si>
  <si>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</si>
  <si>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56 tonn, men det legges til grunn at hele avsetningen tas</t>
  </si>
  <si>
    <t>4 Registrert rekreasjonsfiske utgjør 382 tonn, men det legges til grunn at hele avsetningen tas</t>
  </si>
  <si>
    <t>3 Registrert rekreasjonsfiske utgjør 742 tonn, men det legges til grunn at hele avsetningen tas</t>
  </si>
  <si>
    <t>FANGST UKE 29</t>
  </si>
  <si>
    <t>FANGST T.O.M UKE 29</t>
  </si>
  <si>
    <t>RESTKVOTER UKE 29</t>
  </si>
  <si>
    <t>FANGST T.O.M UKE 29 2023</t>
  </si>
  <si>
    <r>
      <t>3</t>
    </r>
    <r>
      <rPr>
        <sz val="9"/>
        <color indexed="8"/>
        <rFont val="Calibri"/>
        <family val="2"/>
      </rPr>
      <t xml:space="preserve"> Det er fisket 2 929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</si>
</sst>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4" tint="0.79998168889431442"/>
        <bgColor indexed="65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3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3" fontId="7" fillId="2" borderId="2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3" xfId="0" applyFont="1" applyBorder="1"/>
    <xf numFmtId="0" fontId="8" fillId="0" borderId="4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9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2" fillId="0" borderId="18" xfId="0" applyNumberFormat="1" applyFont="1" applyBorder="1" applyAlignment="1">
      <alignment horizontal="right" vertical="center" indent="1"/>
    </xf>
    <xf numFmtId="3" fontId="13" fillId="0" borderId="19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17" fillId="0" borderId="2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2" fillId="0" borderId="13" xfId="0" applyFont="1" applyBorder="1"/>
    <xf numFmtId="0" fontId="9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3" fontId="17" fillId="0" borderId="28" xfId="0" applyNumberFormat="1" applyFont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7" fillId="2" borderId="33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3" fontId="9" fillId="0" borderId="34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3" fontId="9" fillId="0" borderId="3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3" fontId="2" fillId="0" borderId="33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2" borderId="40" xfId="0" applyFont="1" applyFill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right" vertical="center" indent="1"/>
    </xf>
    <xf numFmtId="0" fontId="2" fillId="0" borderId="3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17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/>
    <xf numFmtId="3" fontId="9" fillId="0" borderId="8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wrapText="1"/>
    </xf>
    <xf numFmtId="0" fontId="9" fillId="0" borderId="3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3" fontId="9" fillId="0" borderId="32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2" xfId="0" applyNumberFormat="1" applyFont="1" applyBorder="1" applyAlignment="1">
      <alignment horizontal="right" vertical="center" wrapText="1"/>
    </xf>
    <xf numFmtId="0" fontId="9" fillId="0" borderId="37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" fillId="0" borderId="22" xfId="0" applyFont="1" applyBorder="1"/>
    <xf numFmtId="0" fontId="7" fillId="2" borderId="29" xfId="0" applyFont="1" applyFill="1" applyBorder="1" applyAlignment="1">
      <alignment horizontal="center" vertical="center"/>
    </xf>
    <xf numFmtId="0" fontId="2" fillId="0" borderId="0" xfId="0" applyFont="1"/>
    <xf numFmtId="0" fontId="23" fillId="0" borderId="0" xfId="0" applyFont="1"/>
    <xf numFmtId="3" fontId="9" fillId="0" borderId="12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/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2" borderId="29" xfId="0" applyFont="1" applyFill="1" applyBorder="1" applyAlignment="1">
      <alignment vertical="center" wrapText="1"/>
    </xf>
    <xf numFmtId="3" fontId="2" fillId="0" borderId="39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1" fillId="0" borderId="4" xfId="0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1" fillId="0" borderId="0" xfId="0" applyNumberFormat="1" applyFont="1"/>
    <xf numFmtId="3" fontId="9" fillId="0" borderId="28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2" borderId="8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vertical="center" wrapText="1"/>
    </xf>
    <xf numFmtId="3" fontId="9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8" fillId="0" borderId="2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3" fontId="7" fillId="2" borderId="8" xfId="0" applyNumberFormat="1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18" fillId="0" borderId="28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9" fillId="0" borderId="22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9" fillId="0" borderId="38" xfId="0" applyNumberFormat="1" applyFont="1" applyBorder="1" applyAlignment="1">
      <alignment horizontal="right" vertical="center"/>
    </xf>
    <xf numFmtId="1" fontId="14" fillId="0" borderId="36" xfId="0" applyNumberFormat="1" applyFont="1" applyBorder="1" applyAlignment="1">
      <alignment horizontal="right" vertical="top"/>
    </xf>
    <xf numFmtId="1" fontId="13" fillId="0" borderId="38" xfId="0" applyNumberFormat="1" applyFont="1" applyBorder="1" applyAlignment="1">
      <alignment vertical="center"/>
    </xf>
    <xf numFmtId="0" fontId="2" fillId="0" borderId="4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8" xfId="0" applyNumberFormat="1" applyFont="1" applyBorder="1" applyAlignment="1">
      <alignment horizontal="right" vertical="center" indent="1"/>
    </xf>
    <xf numFmtId="0" fontId="29" fillId="0" borderId="0" xfId="0" applyFont="1"/>
    <xf numFmtId="0" fontId="30" fillId="0" borderId="7" xfId="0" applyFont="1" applyBorder="1" applyAlignment="1">
      <alignment vertical="center"/>
    </xf>
    <xf numFmtId="3" fontId="9" fillId="0" borderId="45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33" xfId="0" applyFont="1" applyBorder="1" applyAlignment="1">
      <alignment vertical="top" wrapText="1"/>
    </xf>
    <xf numFmtId="3" fontId="9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32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7" fillId="2" borderId="2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3" fontId="2" fillId="0" borderId="50" xfId="0" applyNumberFormat="1" applyFont="1" applyBorder="1" applyAlignment="1">
      <alignment horizontal="right" vertical="center" indent="1"/>
    </xf>
    <xf numFmtId="3" fontId="23" fillId="0" borderId="24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4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3" borderId="8" xfId="0" applyFont="1" applyFill="1" applyBorder="1" applyAlignment="1">
      <alignment horizontal="left" vertical="center" wrapText="1"/>
    </xf>
    <xf numFmtId="3" fontId="7" fillId="3" borderId="32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33" fillId="0" borderId="0" xfId="0" applyNumberFormat="1" applyFont="1" applyAlignment="1">
      <alignment horizontal="right" vertical="center" wrapText="1"/>
    </xf>
    <xf numFmtId="0" fontId="10" fillId="0" borderId="0" xfId="0" applyFont="1"/>
    <xf numFmtId="3" fontId="2" fillId="0" borderId="37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top" wrapText="1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</cellXfs>
  <cellStyles count="2">
    <cellStyle name="20 % - uthevingsfarge 1" xfId="1" xr:uid="{880D4C90-5AA1-463F-B7FE-6838011B27F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showWhiteSpace="0" view="pageLayout" topLeftCell="A42" zoomScale="85" zoomScaleNormal="85" zoomScaleSheetLayoutView="100" zoomScalePageLayoutView="85" workbookViewId="0">
      <selection activeCell="I58" sqref="I58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122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141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178.39590000000001</v>
      </c>
      <c r="G23" s="28">
        <f t="shared" si="0"/>
        <v>37524.311320000001</v>
      </c>
      <c r="H23" s="11">
        <f t="shared" si="0"/>
        <v>23287.688679999999</v>
      </c>
      <c r="I23" s="11">
        <f t="shared" si="0"/>
        <v>50946.744120000003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178.3959</f>
        <v>178.39590000000001</v>
      </c>
      <c r="G24" s="23">
        <f>37002.34753</f>
        <v>37002.347529999999</v>
      </c>
      <c r="H24" s="23">
        <f>E24-G24</f>
        <v>23039.652470000001</v>
      </c>
      <c r="I24" s="23">
        <f>50606.56577</f>
        <v>50606.565770000001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521.96379</f>
        <v>521.96379000000002</v>
      </c>
      <c r="H25" s="23">
        <f>E25-G25</f>
        <v>248.03620999999998</v>
      </c>
      <c r="I25" s="23">
        <f>340.17835</f>
        <v>340.17835000000002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948.07042999999999</v>
      </c>
      <c r="G26" s="11">
        <f t="shared" si="1"/>
        <v>119127.76939000002</v>
      </c>
      <c r="H26" s="11">
        <f t="shared" si="1"/>
        <v>25746.230609999999</v>
      </c>
      <c r="I26" s="11">
        <f t="shared" si="1"/>
        <v>168979.19831000001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772.75031000000001</v>
      </c>
      <c r="G27" s="132">
        <f t="shared" ref="G27:I27" si="2">G28+G29+G30+G31+G32</f>
        <v>97261.514070000019</v>
      </c>
      <c r="H27" s="132">
        <f t="shared" si="2"/>
        <v>15716.485929999995</v>
      </c>
      <c r="I27" s="132">
        <f t="shared" si="2"/>
        <v>133938.01332000003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97.12988</f>
        <v>97.12988</v>
      </c>
      <c r="G28" s="127">
        <f>25751.93371 - F56</f>
        <v>25566.933710000001</v>
      </c>
      <c r="H28" s="127">
        <f t="shared" ref="H28:H40" si="3">E28-G28</f>
        <v>3063.0662899999988</v>
      </c>
      <c r="I28" s="127">
        <f>36381.82249 - H56</f>
        <v>36131.822489999999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107.67842</f>
        <v>107.67842</v>
      </c>
      <c r="G29" s="127">
        <f>27137.27341 - F57</f>
        <v>26903.273410000002</v>
      </c>
      <c r="H29" s="127">
        <f t="shared" si="3"/>
        <v>2761.7265899999984</v>
      </c>
      <c r="I29" s="127">
        <f>37563.54836 - H57</f>
        <v>37059.548360000001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72.80007</f>
        <v>72.800070000000005</v>
      </c>
      <c r="G30" s="127">
        <f>25487.90619 - F58</f>
        <v>25103.906190000002</v>
      </c>
      <c r="H30" s="127">
        <f t="shared" si="3"/>
        <v>2140.0938099999985</v>
      </c>
      <c r="I30" s="127">
        <f>35730.11441 - H58</f>
        <v>34598.114410000002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90.14194</f>
        <v>90.141940000000005</v>
      </c>
      <c r="G31" s="127">
        <f>18884.40076 - F59</f>
        <v>18565.40076</v>
      </c>
      <c r="H31" s="127">
        <f t="shared" si="3"/>
        <v>773.59923999999955</v>
      </c>
      <c r="I31" s="127">
        <f>24262.52806 - H59</f>
        <v>23740.528060000001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405</v>
      </c>
      <c r="G32" s="127">
        <f>F55</f>
        <v>1122</v>
      </c>
      <c r="H32" s="127">
        <f t="shared" si="3"/>
        <v>6978</v>
      </c>
      <c r="I32" s="127">
        <f>H55</f>
        <v>2408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3.74599</f>
        <v>3.7459899999999999</v>
      </c>
      <c r="G33" s="132">
        <f>10233.93523</f>
        <v>10233.935229999999</v>
      </c>
      <c r="H33" s="132">
        <f t="shared" si="3"/>
        <v>6625.0647700000009</v>
      </c>
      <c r="I33" s="132">
        <f>15093.4057</f>
        <v>15093.405699999999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171.57413</v>
      </c>
      <c r="G34" s="132">
        <f>G35+G36</f>
        <v>11632.320089999999</v>
      </c>
      <c r="H34" s="132">
        <f t="shared" si="3"/>
        <v>3404.6799100000007</v>
      </c>
      <c r="I34" s="132">
        <f>I35+I36</f>
        <v>19947.779289999999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119.57413</f>
        <v>119.57413</v>
      </c>
      <c r="G35" s="132">
        <f>14306.32009 - F60 - F61</f>
        <v>11494.320089999999</v>
      </c>
      <c r="H35" s="127">
        <f t="shared" si="3"/>
        <v>2582.6799100000007</v>
      </c>
      <c r="I35" s="127">
        <f>24164.77929 - H60 - H61</f>
        <v>19715.779289999999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52</v>
      </c>
      <c r="G36" s="71">
        <f>F60</f>
        <v>138</v>
      </c>
      <c r="H36" s="71">
        <f t="shared" si="3"/>
        <v>822</v>
      </c>
      <c r="I36" s="71">
        <f>H60</f>
        <v>232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1.458</f>
        <v>1.458</v>
      </c>
      <c r="G38" s="98">
        <f>465.27917</f>
        <v>465.27917000000002</v>
      </c>
      <c r="H38" s="98">
        <f t="shared" si="3"/>
        <v>389.72082999999998</v>
      </c>
      <c r="I38" s="98">
        <f>486.66974</f>
        <v>486.66973999999999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28</v>
      </c>
      <c r="G39" s="98">
        <f>F61</f>
        <v>2674</v>
      </c>
      <c r="H39" s="98">
        <f t="shared" si="3"/>
        <v>326</v>
      </c>
      <c r="I39" s="98">
        <f>H61</f>
        <v>4217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32.70431</f>
        <v>32.70431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1.8913</f>
        <v>1.8913</v>
      </c>
      <c r="G41" s="98">
        <f>324.49261</f>
        <v>324.49261000000001</v>
      </c>
      <c r="H41" s="98">
        <f>E41-G41</f>
        <v>75.507389999999987</v>
      </c>
      <c r="I41" s="98">
        <f>348.47165</f>
        <v>348.47165000000001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4.59256</f>
        <v>4.5925599999999998</v>
      </c>
      <c r="G43" s="139">
        <f>94.1688</f>
        <v>94.168800000000005</v>
      </c>
      <c r="H43" s="139">
        <f t="shared" ref="H43" si="4">E43-G43</f>
        <v>-94.168800000000005</v>
      </c>
      <c r="I43" s="139">
        <f>78.21367</f>
        <v>78.213669999999993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1195.1125000000002</v>
      </c>
      <c r="G44" s="76">
        <f t="shared" si="5"/>
        <v>167558.38649</v>
      </c>
      <c r="H44" s="76">
        <f t="shared" si="5"/>
        <v>51482.613509999996</v>
      </c>
      <c r="I44" s="76">
        <f t="shared" si="5"/>
        <v>232803.08908999999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thickBot="1" x14ac:dyDescent="0.3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405</v>
      </c>
      <c r="F55" s="11">
        <f>F59+F58+F57+F56</f>
        <v>1122</v>
      </c>
      <c r="G55" s="295">
        <f>D55-F55</f>
        <v>6750</v>
      </c>
      <c r="H55" s="11">
        <f>H59+H58+H57+H56</f>
        <v>2408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>
        <v>75</v>
      </c>
      <c r="F56" s="127">
        <v>185</v>
      </c>
      <c r="G56" s="296"/>
      <c r="H56" s="127">
        <v>250</v>
      </c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>
        <v>81</v>
      </c>
      <c r="F57" s="127">
        <v>234</v>
      </c>
      <c r="G57" s="296"/>
      <c r="H57" s="127">
        <v>504</v>
      </c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>
        <v>140</v>
      </c>
      <c r="F58" s="127">
        <v>384</v>
      </c>
      <c r="G58" s="296"/>
      <c r="H58" s="127">
        <v>1132</v>
      </c>
      <c r="I58" s="257"/>
      <c r="J58" s="243"/>
    </row>
    <row r="59" spans="1:10" ht="14.1" customHeight="1" thickBot="1" x14ac:dyDescent="0.3">
      <c r="A59" s="101"/>
      <c r="B59" s="24"/>
      <c r="C59" s="87" t="s">
        <v>27</v>
      </c>
      <c r="D59" s="297"/>
      <c r="E59" s="192">
        <v>109</v>
      </c>
      <c r="F59" s="192">
        <v>319</v>
      </c>
      <c r="G59" s="297"/>
      <c r="H59" s="192">
        <v>522</v>
      </c>
      <c r="I59" s="257"/>
      <c r="J59" s="243"/>
    </row>
    <row r="60" spans="1:10" ht="14.1" customHeight="1" thickBot="1" x14ac:dyDescent="0.3">
      <c r="A60" s="101"/>
      <c r="B60" s="24"/>
      <c r="C60" s="88" t="s">
        <v>46</v>
      </c>
      <c r="D60" s="95">
        <v>960</v>
      </c>
      <c r="E60" s="95">
        <v>52</v>
      </c>
      <c r="F60" s="95">
        <v>138</v>
      </c>
      <c r="G60" s="95">
        <f>D60-F60</f>
        <v>822</v>
      </c>
      <c r="H60" s="95">
        <v>232</v>
      </c>
      <c r="I60" s="257"/>
      <c r="J60" s="243"/>
    </row>
    <row r="61" spans="1:10" ht="14.1" customHeight="1" thickBot="1" x14ac:dyDescent="0.3">
      <c r="A61" s="101"/>
      <c r="B61" s="24"/>
      <c r="C61" s="142" t="s">
        <v>47</v>
      </c>
      <c r="D61" s="139">
        <v>3000</v>
      </c>
      <c r="E61" s="139">
        <v>28</v>
      </c>
      <c r="F61" s="139">
        <v>2674</v>
      </c>
      <c r="G61" s="139">
        <f>D61-F61</f>
        <v>326</v>
      </c>
      <c r="H61" s="139">
        <v>4217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30.444400000000002</v>
      </c>
      <c r="G92" s="11">
        <f t="shared" si="6"/>
        <v>23255.878239999998</v>
      </c>
      <c r="H92" s="11">
        <f t="shared" si="6"/>
        <v>2705.12176</v>
      </c>
      <c r="I92" s="11">
        <f t="shared" si="6"/>
        <v>39017.41418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30.4444</f>
        <v>30.444400000000002</v>
      </c>
      <c r="G93" s="23">
        <f>22477.64099</f>
        <v>22477.64099</v>
      </c>
      <c r="H93" s="23">
        <f>E93-G93</f>
        <v>2658.3590100000001</v>
      </c>
      <c r="I93" s="23">
        <f>38517.54719</f>
        <v>38517.547189999997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778.23725</f>
        <v>778.23725000000002</v>
      </c>
      <c r="H94" s="50">
        <f>E94-G94</f>
        <v>46.762749999999983</v>
      </c>
      <c r="I94" s="50">
        <f>499.86699</f>
        <v>499.86698999999999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642.11705000000006</v>
      </c>
      <c r="G95" s="11">
        <f t="shared" si="7"/>
        <v>33505.227440000002</v>
      </c>
      <c r="H95" s="11">
        <f t="shared" si="7"/>
        <v>15488.772559999998</v>
      </c>
      <c r="I95" s="11">
        <f t="shared" si="7"/>
        <v>23887.64516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599.24072999999999</v>
      </c>
      <c r="G96" s="132">
        <f t="shared" si="8"/>
        <v>26598.039970000002</v>
      </c>
      <c r="H96" s="132">
        <f t="shared" si="8"/>
        <v>10895.960029999998</v>
      </c>
      <c r="I96" s="132">
        <f t="shared" si="8"/>
        <v>17163.09503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56.68674</f>
        <v>56.68674</v>
      </c>
      <c r="G97" s="127">
        <f>4250.30038</f>
        <v>4250.3003799999997</v>
      </c>
      <c r="H97" s="127">
        <f t="shared" ref="H97:H104" si="9">E97-G97</f>
        <v>5764.6996200000003</v>
      </c>
      <c r="I97" s="127">
        <f>2469.00498</f>
        <v>2469.0049800000002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126.08759</f>
        <v>126.08759000000001</v>
      </c>
      <c r="G98" s="127">
        <f>8915.37269</f>
        <v>8915.3726900000001</v>
      </c>
      <c r="H98" s="127">
        <f t="shared" si="9"/>
        <v>1698.6273099999999</v>
      </c>
      <c r="I98" s="127">
        <f>5417.4246</f>
        <v>5417.4246000000003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319.81338</f>
        <v>319.81338</v>
      </c>
      <c r="G99" s="127">
        <f>8281.80513</f>
        <v>8281.8051300000006</v>
      </c>
      <c r="H99" s="127">
        <f t="shared" si="9"/>
        <v>1830.1948699999994</v>
      </c>
      <c r="I99" s="127">
        <f>4821.84444</f>
        <v>4821.8444399999998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96.65302</f>
        <v>96.653019999999998</v>
      </c>
      <c r="G100" s="127">
        <f>5150.56177</f>
        <v>5150.5617700000003</v>
      </c>
      <c r="H100" s="127">
        <f t="shared" si="9"/>
        <v>1602.4382299999997</v>
      </c>
      <c r="I100" s="127">
        <f>4454.82101</f>
        <v>4454.8210099999997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6.16019</f>
        <v>6.1601900000000001</v>
      </c>
      <c r="G101" s="132">
        <f>5008.99651</f>
        <v>5008.9965099999999</v>
      </c>
      <c r="H101" s="132">
        <f t="shared" si="9"/>
        <v>2587.0034900000001</v>
      </c>
      <c r="I101" s="132">
        <f>5443.79036</f>
        <v>5443.79036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36.71613</f>
        <v>36.71613</v>
      </c>
      <c r="G102" s="75">
        <f>1898.19096</f>
        <v>1898.1909599999999</v>
      </c>
      <c r="H102" s="75">
        <f t="shared" si="9"/>
        <v>2005.8090400000001</v>
      </c>
      <c r="I102" s="75">
        <f>1280.75977</f>
        <v>1280.7597699999999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1.85801</f>
        <v>1.8580099999999999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0.125</f>
        <v>0.125</v>
      </c>
      <c r="G105" s="98">
        <f>20.77616</f>
        <v>20.776160000000001</v>
      </c>
      <c r="H105" s="139">
        <f>E105-G105</f>
        <v>29.223839999999999</v>
      </c>
      <c r="I105" s="98">
        <f>7.1836</f>
        <v>7.1836000000000002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2.41224</f>
        <v>2.4122400000000002</v>
      </c>
      <c r="G106" s="139">
        <f>22.19514</f>
        <v>22.195139999999999</v>
      </c>
      <c r="H106" s="139">
        <f t="shared" ref="H106" si="10">E106-G106</f>
        <v>-22.195139999999999</v>
      </c>
      <c r="I106" s="139">
        <f>87.90276</f>
        <v>87.902760000000001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676.95670000000007</v>
      </c>
      <c r="G107" s="76">
        <f t="shared" si="12"/>
        <v>57140.179740000007</v>
      </c>
      <c r="H107" s="76">
        <f t="shared" si="12"/>
        <v>18483.820259999997</v>
      </c>
      <c r="I107" s="76">
        <f t="shared" si="12"/>
        <v>63311.394369999995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568.48392999999999</v>
      </c>
      <c r="G128" s="11">
        <f t="shared" si="13"/>
        <v>40182.086359999994</v>
      </c>
      <c r="H128" s="11">
        <f t="shared" si="13"/>
        <v>32124.913640000002</v>
      </c>
      <c r="I128" s="11">
        <f t="shared" si="13"/>
        <v>41318.386630000001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568.48393</f>
        <v>568.48392999999999</v>
      </c>
      <c r="G129" s="23">
        <f>35754.6942</f>
        <v>35754.694199999998</v>
      </c>
      <c r="H129" s="23">
        <f>E129-G129</f>
        <v>21807.305800000002</v>
      </c>
      <c r="I129" s="23">
        <f>36372.92188</f>
        <v>36372.921880000002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4361.94201</f>
        <v>4361.9420099999998</v>
      </c>
      <c r="H130" s="23">
        <f>E130-G130</f>
        <v>9883.0579900000012</v>
      </c>
      <c r="I130" s="23">
        <f>4830.1585</f>
        <v>4830.1584999999995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428.093</f>
        <v>428.09300000000002</v>
      </c>
      <c r="G132" s="95">
        <f>9437.4918+2928.60782</f>
        <v>12366.099620000001</v>
      </c>
      <c r="H132" s="95">
        <f>E132-G132</f>
        <v>40129.900379999999</v>
      </c>
      <c r="I132" s="95">
        <f>30780.67759</f>
        <v>30780.677589999999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711.02628000000004</v>
      </c>
      <c r="G133" s="94">
        <f t="shared" ref="G133" si="14">G134+G139+G142</f>
        <v>48633.472755000003</v>
      </c>
      <c r="H133" s="94">
        <f>H134+H139+H142</f>
        <v>31531.527245000001</v>
      </c>
      <c r="I133" s="94">
        <f>I134+I139+I142</f>
        <v>51080.080539999995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561.12669000000005</v>
      </c>
      <c r="G134" s="125">
        <f>G135+G136+G138+G137</f>
        <v>35809.918845</v>
      </c>
      <c r="H134" s="125">
        <f>H135+H136+H137+H138</f>
        <v>23269.081155</v>
      </c>
      <c r="I134" s="125">
        <f>I135+I136+I137+I138</f>
        <v>40315.733439999996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182.60199</f>
        <v>182.60199</v>
      </c>
      <c r="G135" s="127">
        <v>7211.8824999999997</v>
      </c>
      <c r="H135" s="127">
        <f>E135-G135</f>
        <v>10562.1175</v>
      </c>
      <c r="I135" s="127">
        <f>6257.75702</f>
        <v>6257.75702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91.46605</f>
        <v>91.466049999999996</v>
      </c>
      <c r="G136" s="127">
        <v>10668.611755</v>
      </c>
      <c r="H136" s="127">
        <f>E136-G136</f>
        <v>4270.3882450000001</v>
      </c>
      <c r="I136" s="127">
        <f>10607.36756</f>
        <v>10607.367560000001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151.91645</f>
        <v>151.91645</v>
      </c>
      <c r="G137" s="127">
        <v>9369.3005899999989</v>
      </c>
      <c r="H137" s="127">
        <f>E137-G137</f>
        <v>3681.6994100000011</v>
      </c>
      <c r="I137" s="127">
        <f>12325.6085</f>
        <v>12325.6085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135.1422</f>
        <v>135.1422</v>
      </c>
      <c r="G138" s="127">
        <v>8560.1240000000016</v>
      </c>
      <c r="H138" s="127">
        <f>E138-G138</f>
        <v>4754.8759999999984</v>
      </c>
      <c r="I138" s="127">
        <f>11125.00036</f>
        <v>11125.00036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4.5981800000000002</v>
      </c>
      <c r="G139" s="132">
        <f>SUM(G140:G141)</f>
        <v>8754.3310999999994</v>
      </c>
      <c r="H139" s="132">
        <f>H140+H141</f>
        <v>175.66889999999995</v>
      </c>
      <c r="I139" s="132">
        <f>SUM(I140:I141)</f>
        <v>6432.78683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3.50738</f>
        <v>3.5073799999999999</v>
      </c>
      <c r="G140" s="127">
        <f>8364.4627</f>
        <v>8364.4627</v>
      </c>
      <c r="H140" s="127">
        <f t="shared" ref="H140:H148" si="15">E140-G140</f>
        <v>65.537299999999959</v>
      </c>
      <c r="I140" s="127">
        <f>6274.02821</f>
        <v>6274.0282100000004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1.0908</f>
        <v>1.0908</v>
      </c>
      <c r="G141" s="127">
        <f>389.8684</f>
        <v>389.86840000000001</v>
      </c>
      <c r="H141" s="127">
        <f t="shared" si="15"/>
        <v>110.13159999999999</v>
      </c>
      <c r="I141" s="127">
        <f>158.75862</f>
        <v>158.75862000000001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145.30141</f>
        <v>145.30141</v>
      </c>
      <c r="G142" s="75">
        <f>4069.22281</f>
        <v>4069.2228100000002</v>
      </c>
      <c r="H142" s="75">
        <f t="shared" si="15"/>
        <v>8086.7771899999998</v>
      </c>
      <c r="I142" s="75">
        <f>4331.56027</f>
        <v>4331.5602699999999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27.92778</f>
        <v>27.927779999999998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2.25135</f>
        <v>2.25135</v>
      </c>
      <c r="G147" s="98">
        <f>42.92008</f>
        <v>42.920079999999999</v>
      </c>
      <c r="H147" s="139">
        <f t="shared" si="15"/>
        <v>233.07992000000002</v>
      </c>
      <c r="I147" s="98">
        <f>26.73643</f>
        <v>26.736429999999999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1.543</f>
        <v>1.5429999999999999</v>
      </c>
      <c r="G148" s="139">
        <f>113.61649</f>
        <v>113.61649</v>
      </c>
      <c r="H148" s="139">
        <f t="shared" si="15"/>
        <v>-113.61649</v>
      </c>
      <c r="I148" s="139">
        <f>95.18393</f>
        <v>95.183930000000004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1739.3253399999999</v>
      </c>
      <c r="G150" s="76">
        <f>G128+G132+G133+G143+G144+G145+G146+G147+G148</f>
        <v>103609.94385499999</v>
      </c>
      <c r="H150" s="76">
        <f>H128+H132+H133+H143+H144+H145+H146+H147+H148</f>
        <v>104030.05614500002</v>
      </c>
      <c r="I150" s="76">
        <f>I128+I132+I133+I143+I144+I145+I146+I147+I148</f>
        <v>125594.00712000001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61.07357</f>
        <v>61.073569999999997</v>
      </c>
      <c r="F175" s="275">
        <f>747.94287</f>
        <v>747.94286999999997</v>
      </c>
      <c r="G175" s="43">
        <f>D175-F175-F176</f>
        <v>2271.5600300000001</v>
      </c>
      <c r="H175" s="275">
        <f>1172.86523</f>
        <v>1172.8652300000001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1203.4971</f>
        <v>1203.4971</v>
      </c>
      <c r="G176" s="216"/>
      <c r="H176" s="152">
        <f>1289.45802</f>
        <v>1289.45802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82.16938</f>
        <v>82.169380000000004</v>
      </c>
      <c r="G177" s="172">
        <f>D177-F177</f>
        <v>117.83062</v>
      </c>
      <c r="H177" s="172">
        <f>71.48316</f>
        <v>71.483159999999998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2.0949999999999998</v>
      </c>
      <c r="F178" s="181">
        <f>F179+F180+F181</f>
        <v>3854.0641000000001</v>
      </c>
      <c r="G178" s="181">
        <f>D178-F178</f>
        <v>2479.9358999999999</v>
      </c>
      <c r="H178" s="181">
        <f>H179+H180+H181</f>
        <v>4847.3039900000003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1.335</f>
        <v>1.335</v>
      </c>
      <c r="F179" s="127">
        <f>1859.20314</f>
        <v>1859.2031400000001</v>
      </c>
      <c r="G179" s="127"/>
      <c r="H179" s="127">
        <f>2242.14321</f>
        <v>2242.1432100000002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0.76</f>
        <v>0.76</v>
      </c>
      <c r="F180" s="127">
        <f>1208.68462</f>
        <v>1208.68462</v>
      </c>
      <c r="G180" s="127"/>
      <c r="H180" s="127">
        <f>1588.63908</f>
        <v>1588.6390799999999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</f>
        <v>0</v>
      </c>
      <c r="F181" s="192">
        <f>786.17634</f>
        <v>786.17633999999998</v>
      </c>
      <c r="G181" s="192"/>
      <c r="H181" s="192">
        <f>1016.5217</f>
        <v>1016.5217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63.168569999999995</v>
      </c>
      <c r="F184" s="194">
        <f>F175+F176+F177+F178+F182+F183</f>
        <v>5887.6734500000002</v>
      </c>
      <c r="G184" s="194">
        <f>D184-F184</f>
        <v>4935.3265499999998</v>
      </c>
      <c r="H184" s="194">
        <f>H175+H176+H177+H178+H182+H183</f>
        <v>7381.1104000000005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1140.03539</f>
        <v>1140.03539</v>
      </c>
      <c r="F204" s="124">
        <f>37154.68579</f>
        <v>37154.685790000003</v>
      </c>
      <c r="G204" s="124">
        <f>D204-F204</f>
        <v>9127.3142099999968</v>
      </c>
      <c r="H204" s="124">
        <f>37635.75767</f>
        <v>37635.757669999999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0.191</f>
        <v>0.191</v>
      </c>
      <c r="F205" s="124">
        <f>25.66032</f>
        <v>25.660319999999999</v>
      </c>
      <c r="G205" s="124">
        <f>D205-F205</f>
        <v>74.339680000000001</v>
      </c>
      <c r="H205" s="124">
        <f>20.82775</f>
        <v>20.827750000000002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1140.22639</v>
      </c>
      <c r="F207" s="190">
        <f>SUM(F204:F206)</f>
        <v>37180.346110000006</v>
      </c>
      <c r="G207" s="190">
        <f>D207-F207</f>
        <v>9237.6538899999941</v>
      </c>
      <c r="H207" s="190">
        <f>SUM(H204:H206)</f>
        <v>37656.585419999996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71.302440000000004</v>
      </c>
      <c r="F249" s="75">
        <f>F250+F251</f>
        <v>3431.5829899999999</v>
      </c>
      <c r="G249" s="75">
        <f>D249-F249</f>
        <v>555.41701000000012</v>
      </c>
      <c r="H249" s="75">
        <f>H250+H251</f>
        <v>2686.3724100000004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63.99354</f>
        <v>63.993540000000003</v>
      </c>
      <c r="F250" s="75">
        <f>2940.1899</f>
        <v>2940.1898999999999</v>
      </c>
      <c r="G250" s="75"/>
      <c r="H250" s="75">
        <f>2191.15608</f>
        <v>2191.1560800000002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7.3089</f>
        <v>7.3089000000000004</v>
      </c>
      <c r="F251" s="124">
        <f>491.39309</f>
        <v>491.39308999999997</v>
      </c>
      <c r="G251" s="168"/>
      <c r="H251" s="124">
        <f>495.21633</f>
        <v>495.21633000000003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13.95886</f>
        <v>13.95886</v>
      </c>
      <c r="F252" s="75">
        <f>4762.10385</f>
        <v>4762.1038500000004</v>
      </c>
      <c r="G252" s="75">
        <f>D252-F252</f>
        <v>-149.10385000000042</v>
      </c>
      <c r="H252" s="75">
        <f>4418.69739</f>
        <v>4418.6973900000003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85.261300000000006</v>
      </c>
      <c r="F253" s="190">
        <f>SUM(F249,F252)</f>
        <v>8193.6868400000003</v>
      </c>
      <c r="G253" s="190">
        <f>D253-F253</f>
        <v>406.3131599999997</v>
      </c>
      <c r="H253" s="190">
        <f>SUM(H249,H252)</f>
        <v>7105.0698000000011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90.083629999999999</v>
      </c>
      <c r="F295" s="75">
        <f>F296+F297</f>
        <v>3853.5657000000001</v>
      </c>
      <c r="G295" s="75">
        <f>D295-F295</f>
        <v>1236.4342999999999</v>
      </c>
      <c r="H295" s="75">
        <f>H296+H297</f>
        <v>3705.2262100000003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86.31473</f>
        <v>86.314729999999997</v>
      </c>
      <c r="F296" s="75">
        <f>3431.17949</f>
        <v>3431.17949</v>
      </c>
      <c r="G296" s="75"/>
      <c r="H296" s="75">
        <f>3296.45895</f>
        <v>3296.4589500000002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3.7689</f>
        <v>3.7688999999999999</v>
      </c>
      <c r="F297" s="124">
        <f>422.38621</f>
        <v>422.38621000000001</v>
      </c>
      <c r="G297" s="168"/>
      <c r="H297" s="124">
        <f>408.76726</f>
        <v>408.76726000000002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37.95408</f>
        <v>37.954079999999998</v>
      </c>
      <c r="F298" s="75">
        <f>2092.62779</f>
        <v>2092.62779</v>
      </c>
      <c r="G298" s="75">
        <f>D298-F298</f>
        <v>888.37221</v>
      </c>
      <c r="H298" s="75">
        <f>2421.74892</f>
        <v>2421.74892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128.03771</v>
      </c>
      <c r="F299" s="190">
        <f>SUM(F295,F298)</f>
        <v>5946.1934899999997</v>
      </c>
      <c r="G299" s="190">
        <f>D299-F299</f>
        <v>2124.8065100000003</v>
      </c>
      <c r="H299" s="190">
        <f>SUM(H295,H298)</f>
        <v>6126.9751300000007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6.37794</f>
        <v>6.3779399999999997</v>
      </c>
      <c r="F350" s="124">
        <f>378.30323</f>
        <v>378.30322999999999</v>
      </c>
      <c r="G350" s="124">
        <f>D350-F350</f>
        <v>421.69677000000001</v>
      </c>
      <c r="H350" s="124">
        <f>351.6219</f>
        <v>351.62189999999998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163.76891</f>
        <v>163.76891000000001</v>
      </c>
      <c r="F351" s="124">
        <f>1228.70836</f>
        <v>1228.7083600000001</v>
      </c>
      <c r="G351" s="124">
        <f>D351-F351</f>
        <v>1812.2916399999999</v>
      </c>
      <c r="H351" s="124">
        <f>1492.32613</f>
        <v>1492.3261299999999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0.63874</f>
        <v>0.63873999999999997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1.68235</f>
        <v>1.68235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170.14685</v>
      </c>
      <c r="F354" s="190">
        <f>SUM(F350:F353)</f>
        <v>1610.7122099999999</v>
      </c>
      <c r="G354" s="190">
        <f>D354-F354</f>
        <v>2240.2877900000003</v>
      </c>
      <c r="H354" s="190">
        <f>H350+H351+H352+H353</f>
        <v>1846.2691200000002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85.245069999999998</v>
      </c>
      <c r="G380" s="252">
        <f t="shared" si="17"/>
        <v>8052.8002699999997</v>
      </c>
      <c r="H380" s="252">
        <f>H384+H383+H382+H381</f>
        <v>14916.19973</v>
      </c>
      <c r="I380" s="252">
        <f t="shared" si="17"/>
        <v>7134.5250300000007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4578.07601</f>
        <v>4578.0760099999998</v>
      </c>
      <c r="H381" s="256">
        <f t="shared" ref="H381:H385" si="18">E381-G381</f>
        <v>8611.9239899999993</v>
      </c>
      <c r="I381" s="256">
        <f>3038.81163</f>
        <v>3038.8116300000002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912.4407</f>
        <v>912.44069999999999</v>
      </c>
      <c r="H382" s="256">
        <f t="shared" si="18"/>
        <v>2520.5592999999999</v>
      </c>
      <c r="I382" s="256">
        <f>892.13805</f>
        <v>892.13805000000002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10.96587</f>
        <v>10.965870000000001</v>
      </c>
      <c r="G383" s="256">
        <f>1282.4651</f>
        <v>1282.4650999999999</v>
      </c>
      <c r="H383" s="256">
        <f t="shared" si="18"/>
        <v>200.53490000000011</v>
      </c>
      <c r="I383" s="256">
        <f>1419.31505</f>
        <v>1419.3150499999999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74.2792</f>
        <v>74.279200000000003</v>
      </c>
      <c r="G384" s="256">
        <f>1279.81846</f>
        <v>1279.81846</v>
      </c>
      <c r="H384" s="256">
        <f t="shared" si="18"/>
        <v>3583.18154</v>
      </c>
      <c r="I384" s="256">
        <f>1784.2603</f>
        <v>1784.2602999999999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2132.18278</f>
        <v>2132.1827800000001</v>
      </c>
      <c r="H385" s="267">
        <f t="shared" si="18"/>
        <v>3367.8172199999999</v>
      </c>
      <c r="I385" s="267">
        <f>5096.83428</f>
        <v>5096.83428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94.646769999999989</v>
      </c>
      <c r="G386" s="268">
        <f>G388+G387</f>
        <v>1828.7239499999998</v>
      </c>
      <c r="H386" s="268">
        <f>E386-G386</f>
        <v>6171.2760500000004</v>
      </c>
      <c r="I386" s="268">
        <f>I388+I387</f>
        <v>2351.4592900000002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24.8346</f>
        <v>24.834599999999998</v>
      </c>
      <c r="G387" s="256">
        <f>581.32522</f>
        <v>581.32521999999994</v>
      </c>
      <c r="H387" s="256"/>
      <c r="I387" s="256">
        <f>810.12998</f>
        <v>810.12998000000005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69.81217</f>
        <v>69.812169999999995</v>
      </c>
      <c r="G388" s="277">
        <f>1247.39873</f>
        <v>1247.3987299999999</v>
      </c>
      <c r="H388" s="277"/>
      <c r="I388" s="277">
        <f>1541.32931</f>
        <v>1541.3293100000001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0.1164</f>
        <v>0.1164</v>
      </c>
      <c r="H389" s="267">
        <f>E389-G389</f>
        <v>12.883599999999999</v>
      </c>
      <c r="I389" s="267">
        <f>0.0735</f>
        <v>7.3499999999999996E-2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0.05052</f>
        <v>5.0520000000000002E-2</v>
      </c>
      <c r="G390" s="267">
        <f>53.25848</f>
        <v>53.258479999999999</v>
      </c>
      <c r="H390" s="267">
        <f>E390-G390</f>
        <v>-53.258479999999999</v>
      </c>
      <c r="I390" s="267">
        <f>46.9997</f>
        <v>46.999699999999997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179.94236000000001</v>
      </c>
      <c r="G391" s="286">
        <f t="shared" si="19"/>
        <v>12067.08188</v>
      </c>
      <c r="H391" s="286">
        <f>H380+H385+H386+H389+H390</f>
        <v>24414.918120000002</v>
      </c>
      <c r="I391" s="286">
        <f t="shared" si="19"/>
        <v>14629.891800000001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120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80.112200000000001</v>
      </c>
      <c r="F413" s="26">
        <f>SUM(F414:F415)</f>
        <v>247.9734</v>
      </c>
      <c r="G413" s="85">
        <f>D413-F413</f>
        <v>987.02660000000003</v>
      </c>
      <c r="H413" s="26">
        <f>SUM(H414:H415)</f>
        <v>221.75617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64.7195</f>
        <v>64.719499999999996</v>
      </c>
      <c r="F414" s="205">
        <f>200.452</f>
        <v>200.452</v>
      </c>
      <c r="G414" s="206"/>
      <c r="H414" s="205">
        <f>180.93947</f>
        <v>180.93947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15.3927</f>
        <v>15.3927</v>
      </c>
      <c r="F415" s="208">
        <f>47.5214</f>
        <v>47.5214</v>
      </c>
      <c r="G415" s="209"/>
      <c r="H415" s="208">
        <f>40.8167</f>
        <v>40.816699999999997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0</v>
      </c>
      <c r="G416" s="85">
        <f>D416-F416</f>
        <v>1060</v>
      </c>
      <c r="H416" s="26">
        <f>SUM(H417:H418)</f>
        <v>0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0</v>
      </c>
      <c r="F419" s="36">
        <f>SUM(F420:F421)</f>
        <v>0</v>
      </c>
      <c r="G419" s="85">
        <f>D419-F419</f>
        <v>1235</v>
      </c>
      <c r="H419" s="36">
        <f>SUM(H420:H421)</f>
        <v>0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80.112200000000001</v>
      </c>
      <c r="F423" s="40">
        <f>F413+F416+F419+F422</f>
        <v>247.9734</v>
      </c>
      <c r="G423" s="41"/>
      <c r="H423" s="40">
        <f>H413+H416+H419+H422</f>
        <v>221.75617</v>
      </c>
      <c r="I423" s="27"/>
      <c r="J423" s="130"/>
    </row>
    <row r="424" spans="1:10" ht="42" customHeight="1" x14ac:dyDescent="0.25">
      <c r="A424" s="217"/>
      <c r="B424" s="72"/>
      <c r="C424" s="292" t="s">
        <v>121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29&amp;R22.07.2024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Magnus Falnes Hole</cp:lastModifiedBy>
  <cp:lastPrinted>2022-11-14T12:51:47Z</cp:lastPrinted>
  <dcterms:created xsi:type="dcterms:W3CDTF">2022-08-01T13:23:35Z</dcterms:created>
  <dcterms:modified xsi:type="dcterms:W3CDTF">2024-07-24T07:44:19Z</dcterms:modified>
</cp:coreProperties>
</file>