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150168BB-8023-4D86-87A4-CE2DD279B7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61" i="1"/>
  <c r="H60" i="1"/>
  <c r="G132" i="1" l="1"/>
  <c r="D423" i="1"/>
  <c r="H422" i="1"/>
  <c r="F422" i="1"/>
  <c r="G422" i="1" s="1"/>
  <c r="E422" i="1"/>
  <c r="H421" i="1"/>
  <c r="F421" i="1"/>
  <c r="E421" i="1"/>
  <c r="H420" i="1"/>
  <c r="H419" i="1" s="1"/>
  <c r="F420" i="1"/>
  <c r="F419" i="1" s="1"/>
  <c r="G419" i="1" s="1"/>
  <c r="E420" i="1"/>
  <c r="E419" i="1" s="1"/>
  <c r="H418" i="1"/>
  <c r="F418" i="1"/>
  <c r="E418" i="1"/>
  <c r="H417" i="1"/>
  <c r="F417" i="1"/>
  <c r="F416" i="1" s="1"/>
  <c r="G416" i="1" s="1"/>
  <c r="E417" i="1"/>
  <c r="E416" i="1" s="1"/>
  <c r="H415" i="1"/>
  <c r="F415" i="1"/>
  <c r="E415" i="1"/>
  <c r="H414" i="1"/>
  <c r="F414" i="1"/>
  <c r="E414" i="1"/>
  <c r="I390" i="1"/>
  <c r="G390" i="1"/>
  <c r="H390" i="1" s="1"/>
  <c r="F390" i="1"/>
  <c r="I389" i="1"/>
  <c r="G389" i="1"/>
  <c r="H389" i="1" s="1"/>
  <c r="F389" i="1"/>
  <c r="I388" i="1"/>
  <c r="G388" i="1"/>
  <c r="F388" i="1"/>
  <c r="I387" i="1"/>
  <c r="G387" i="1"/>
  <c r="F387" i="1"/>
  <c r="I385" i="1"/>
  <c r="G385" i="1"/>
  <c r="H385" i="1" s="1"/>
  <c r="F385" i="1"/>
  <c r="I384" i="1"/>
  <c r="G384" i="1"/>
  <c r="H384" i="1" s="1"/>
  <c r="F384" i="1"/>
  <c r="I383" i="1"/>
  <c r="H383" i="1"/>
  <c r="G383" i="1"/>
  <c r="F383" i="1"/>
  <c r="I382" i="1"/>
  <c r="G382" i="1"/>
  <c r="H382" i="1" s="1"/>
  <c r="F382" i="1"/>
  <c r="I381" i="1"/>
  <c r="H381" i="1"/>
  <c r="G381" i="1"/>
  <c r="F381" i="1"/>
  <c r="D380" i="1"/>
  <c r="D391" i="1" s="1"/>
  <c r="H372" i="1"/>
  <c r="F372" i="1"/>
  <c r="D354" i="1"/>
  <c r="H353" i="1"/>
  <c r="G353" i="1"/>
  <c r="F353" i="1"/>
  <c r="E353" i="1"/>
  <c r="H352" i="1"/>
  <c r="F352" i="1"/>
  <c r="G352" i="1" s="1"/>
  <c r="E352" i="1"/>
  <c r="H351" i="1"/>
  <c r="F351" i="1"/>
  <c r="G351" i="1" s="1"/>
  <c r="E351" i="1"/>
  <c r="H350" i="1"/>
  <c r="F350" i="1"/>
  <c r="E350" i="1"/>
  <c r="D343" i="1"/>
  <c r="D299" i="1"/>
  <c r="H298" i="1"/>
  <c r="F298" i="1"/>
  <c r="G298" i="1" s="1"/>
  <c r="E298" i="1"/>
  <c r="H297" i="1"/>
  <c r="F297" i="1"/>
  <c r="E297" i="1"/>
  <c r="H296" i="1"/>
  <c r="F296" i="1"/>
  <c r="E296" i="1"/>
  <c r="E295" i="1" s="1"/>
  <c r="D253" i="1"/>
  <c r="H252" i="1"/>
  <c r="F252" i="1"/>
  <c r="G252" i="1" s="1"/>
  <c r="E252" i="1"/>
  <c r="H251" i="1"/>
  <c r="F251" i="1"/>
  <c r="E251" i="1"/>
  <c r="H250" i="1"/>
  <c r="F250" i="1"/>
  <c r="E250" i="1"/>
  <c r="D207" i="1"/>
  <c r="H206" i="1"/>
  <c r="F206" i="1"/>
  <c r="G206" i="1" s="1"/>
  <c r="E206" i="1"/>
  <c r="H205" i="1"/>
  <c r="F205" i="1"/>
  <c r="G205" i="1" s="1"/>
  <c r="E205" i="1"/>
  <c r="H204" i="1"/>
  <c r="F204" i="1"/>
  <c r="G204" i="1" s="1"/>
  <c r="E20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H140" i="1" s="1"/>
  <c r="F140" i="1"/>
  <c r="F139" i="1" s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G134" i="1"/>
  <c r="E134" i="1"/>
  <c r="D134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F129" i="1"/>
  <c r="F128" i="1" s="1"/>
  <c r="E128" i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E96" i="1"/>
  <c r="E95" i="1" s="1"/>
  <c r="D96" i="1"/>
  <c r="D95" i="1" s="1"/>
  <c r="I94" i="1"/>
  <c r="I92" i="1" s="1"/>
  <c r="G94" i="1"/>
  <c r="H94" i="1" s="1"/>
  <c r="F94" i="1"/>
  <c r="I93" i="1"/>
  <c r="G93" i="1"/>
  <c r="H93" i="1" s="1"/>
  <c r="F93" i="1"/>
  <c r="E92" i="1"/>
  <c r="E107" i="1" s="1"/>
  <c r="D92" i="1"/>
  <c r="C89" i="1"/>
  <c r="H85" i="1"/>
  <c r="F85" i="1"/>
  <c r="D85" i="1"/>
  <c r="I55" i="1"/>
  <c r="I32" i="1" s="1"/>
  <c r="G55" i="1"/>
  <c r="G32" i="1" s="1"/>
  <c r="H32" i="1" s="1"/>
  <c r="F55" i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G35" i="1"/>
  <c r="F35" i="1"/>
  <c r="E35" i="1"/>
  <c r="D34" i="1"/>
  <c r="I33" i="1"/>
  <c r="G33" i="1"/>
  <c r="H33" i="1" s="1"/>
  <c r="F33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E26" i="1" s="1"/>
  <c r="D27" i="1"/>
  <c r="D26" i="1" s="1"/>
  <c r="D44" i="1" s="1"/>
  <c r="I25" i="1"/>
  <c r="G25" i="1"/>
  <c r="H25" i="1" s="1"/>
  <c r="F25" i="1"/>
  <c r="I24" i="1"/>
  <c r="G24" i="1"/>
  <c r="H24" i="1" s="1"/>
  <c r="F24" i="1"/>
  <c r="E23" i="1"/>
  <c r="D23" i="1"/>
  <c r="H16" i="1"/>
  <c r="F16" i="1"/>
  <c r="D16" i="1"/>
  <c r="D133" i="1" l="1"/>
  <c r="E133" i="1"/>
  <c r="H178" i="1"/>
  <c r="G386" i="1"/>
  <c r="H386" i="1" s="1"/>
  <c r="H416" i="1"/>
  <c r="E299" i="1"/>
  <c r="F23" i="1"/>
  <c r="F413" i="1"/>
  <c r="G413" i="1" s="1"/>
  <c r="F92" i="1"/>
  <c r="I34" i="1"/>
  <c r="G128" i="1"/>
  <c r="E354" i="1"/>
  <c r="I23" i="1"/>
  <c r="F96" i="1"/>
  <c r="F95" i="1" s="1"/>
  <c r="F107" i="1" s="1"/>
  <c r="H413" i="1"/>
  <c r="H423" i="1" s="1"/>
  <c r="I139" i="1"/>
  <c r="E249" i="1"/>
  <c r="E253" i="1" s="1"/>
  <c r="I134" i="1"/>
  <c r="E178" i="1"/>
  <c r="F380" i="1"/>
  <c r="E184" i="1"/>
  <c r="G92" i="1"/>
  <c r="F249" i="1"/>
  <c r="F253" i="1" s="1"/>
  <c r="G253" i="1" s="1"/>
  <c r="F386" i="1"/>
  <c r="F391" i="1" s="1"/>
  <c r="H184" i="1"/>
  <c r="G380" i="1"/>
  <c r="I128" i="1"/>
  <c r="F134" i="1"/>
  <c r="F133" i="1" s="1"/>
  <c r="F150" i="1" s="1"/>
  <c r="H139" i="1"/>
  <c r="I386" i="1"/>
  <c r="D107" i="1"/>
  <c r="I96" i="1"/>
  <c r="I95" i="1" s="1"/>
  <c r="F178" i="1"/>
  <c r="G178" i="1" s="1"/>
  <c r="E207" i="1"/>
  <c r="F295" i="1"/>
  <c r="F299" i="1" s="1"/>
  <c r="G299" i="1" s="1"/>
  <c r="H354" i="1"/>
  <c r="H92" i="1"/>
  <c r="H249" i="1"/>
  <c r="H253" i="1" s="1"/>
  <c r="H295" i="1"/>
  <c r="H299" i="1" s="1"/>
  <c r="I380" i="1"/>
  <c r="E413" i="1"/>
  <c r="E423" i="1" s="1"/>
  <c r="H23" i="1"/>
  <c r="H207" i="1"/>
  <c r="E44" i="1"/>
  <c r="F34" i="1"/>
  <c r="E150" i="1"/>
  <c r="F354" i="1"/>
  <c r="G354" i="1" s="1"/>
  <c r="I27" i="1"/>
  <c r="I26" i="1" s="1"/>
  <c r="I44" i="1" s="1"/>
  <c r="G34" i="1"/>
  <c r="H34" i="1" s="1"/>
  <c r="F27" i="1"/>
  <c r="D150" i="1"/>
  <c r="H134" i="1"/>
  <c r="H133" i="1" s="1"/>
  <c r="H27" i="1"/>
  <c r="I107" i="1"/>
  <c r="G295" i="1"/>
  <c r="H380" i="1"/>
  <c r="H391" i="1" s="1"/>
  <c r="H96" i="1"/>
  <c r="H95" i="1" s="1"/>
  <c r="G27" i="1"/>
  <c r="G139" i="1"/>
  <c r="G133" i="1" s="1"/>
  <c r="G150" i="1" s="1"/>
  <c r="F207" i="1"/>
  <c r="G207" i="1" s="1"/>
  <c r="G96" i="1"/>
  <c r="G95" i="1" s="1"/>
  <c r="H35" i="1"/>
  <c r="G350" i="1"/>
  <c r="H129" i="1"/>
  <c r="H128" i="1" s="1"/>
  <c r="G23" i="1"/>
  <c r="G175" i="1"/>
  <c r="F423" i="1" l="1"/>
  <c r="G423" i="1" s="1"/>
  <c r="G391" i="1"/>
  <c r="H107" i="1"/>
  <c r="G107" i="1"/>
  <c r="I133" i="1"/>
  <c r="I391" i="1"/>
  <c r="I150" i="1"/>
  <c r="G249" i="1"/>
  <c r="H150" i="1"/>
  <c r="F184" i="1"/>
  <c r="G184" i="1" s="1"/>
  <c r="G26" i="1"/>
  <c r="F26" i="1"/>
  <c r="F44" i="1" s="1"/>
  <c r="G44" i="1"/>
  <c r="H26" i="1"/>
  <c r="H44" i="1" s="1"/>
</calcChain>
</file>

<file path=xl/sharedStrings.xml><?xml version="1.0" encoding="utf-8"?>
<sst xmlns="http://schemas.openxmlformats.org/spreadsheetml/2006/main" count="360" uniqueCount="152">
  <si>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</si>
  <si>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</si>
  <si>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</si>
  <si>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</si>
  <si>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</si>
  <si>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</si>
  <si>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</si>
  <si>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</si>
  <si>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</si>
  <si>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</si>
  <si>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</si>
  <si>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</si>
  <si>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</si>
  <si>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</si>
  <si>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</si>
  <si>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</si>
  <si>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</si>
  <si>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</si>
  <si>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</si>
  <si>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</si>
  <si>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</si>
  <si>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</si>
  <si>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</si>
  <si>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</si>
  <si>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</si>
  <si>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</si>
  <si>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</si>
  <si>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</si>
  <si>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</si>
  <si>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</si>
  <si>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</si>
  <si>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</si>
  <si>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</si>
  <si>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</si>
  <si>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</si>
  <si>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</si>
  <si>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</si>
  <si>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</si>
  <si>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</si>
  <si>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</si>
  <si>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</si>
  <si>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</si>
  <si>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</si>
  <si>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</si>
  <si>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</si>
  <si>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</si>
  <si>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</si>
  <si>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</si>
  <si>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</si>
  <si>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</si>
  <si>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</si>
  <si>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</si>
  <si>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</si>
  <si>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</si>
  <si>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</si>
  <si>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</si>
  <si>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</si>
  <si>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</si>
  <si>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</si>
  <si>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</si>
  <si>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</si>
  <si>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</si>
  <si>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</si>
  <si>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</si>
  <si>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</si>
  <si>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</si>
  <si>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</si>
  <si>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</si>
  <si>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</si>
  <si>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</si>
  <si>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</si>
  <si>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</si>
  <si>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</si>
  <si>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</si>
  <si>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</si>
  <si>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</si>
  <si>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</si>
  <si>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</si>
  <si>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</si>
  <si>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</si>
  <si>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</si>
  <si>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</si>
  <si>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</si>
  <si>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</si>
  <si>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</si>
  <si>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</si>
  <si>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</si>
  <si>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</si>
  <si>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</si>
  <si>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</si>
  <si>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</si>
  <si>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</si>
  <si>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</si>
  <si>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</si>
  <si>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</si>
  <si>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</si>
  <si>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</si>
  <si>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</si>
  <si>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</si>
  <si>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</si>
  <si>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</si>
  <si>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</si>
  <si>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</si>
  <si>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</si>
  <si>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</si>
  <si>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</si>
  <si>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</si>
  <si>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</si>
  <si>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</si>
  <si>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</si>
  <si>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</si>
  <si>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</si>
  <si>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</si>
  <si>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</si>
  <si>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</si>
  <si>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</si>
  <si>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</si>
  <si>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</si>
  <si>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</si>
  <si>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</si>
  <si>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</si>
  <si>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</si>
  <si>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</si>
  <si>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</si>
  <si>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</si>
  <si>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</si>
  <si>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</si>
  <si>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</si>
  <si>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</si>
  <si>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</si>
  <si>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</si>
  <si>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</si>
  <si>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</si>
  <si>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</si>
  <si>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</si>
  <si>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</si>
  <si>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</si>
  <si>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</si>
  <si>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</si>
  <si>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</si>
  <si>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</si>
  <si>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</si>
  <si>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</si>
  <si>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61 tonn, men det legges til grunn at hele avsetningen tas</t>
  </si>
  <si>
    <t>4 Registrert rekreasjonsfiske utgjør 495 tonn, men det legges til grunn at hele avsetningen tas</t>
  </si>
  <si>
    <t>3 Registrert rekreasjonsfiske utgjør 875 tonn, men det legges til grunn at hele avsetningen tas</t>
  </si>
  <si>
    <t>FANGST UKE 39</t>
  </si>
  <si>
    <t>FANGST T.O.M UKE 39</t>
  </si>
  <si>
    <t>RESTKVOTER UKE 39</t>
  </si>
  <si>
    <t>FANGST T.O.M UKE 39 2023</t>
  </si>
  <si>
    <r>
      <t>3</t>
    </r>
    <r>
      <rPr>
        <sz val="9"/>
        <color indexed="8"/>
        <rFont val="Calibri"/>
        <family val="2"/>
      </rPr>
      <t xml:space="preserve"> Det er fisket 5 272 tonn sei med konvensjonelle redskap som belastes notkvoten.</t>
    </r>
  </si>
  <si>
    <t>JUSTERTE AVSETNINGER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</si>
</sst>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 wrapText="1"/>
    </xf>
    <xf numFmtId="3" fontId="48" fillId="0" borderId="19" xfId="0" applyNumberFormat="1" applyFont="1" applyBorder="1" applyAlignment="1">
      <alignment horizontal="right" vertical="center" wrapText="1"/>
    </xf>
    <xf numFmtId="3" fontId="48" fillId="0" borderId="36" xfId="0" applyNumberFormat="1" applyFont="1" applyBorder="1" applyAlignment="1">
      <alignment horizontal="right" vertical="center" wrapText="1"/>
    </xf>
    <xf numFmtId="3" fontId="48" fillId="0" borderId="37" xfId="0" applyNumberFormat="1" applyFont="1" applyBorder="1" applyAlignment="1">
      <alignment horizontal="right" vertical="center" wrapText="1"/>
    </xf>
    <xf numFmtId="3" fontId="48" fillId="0" borderId="36" xfId="0" applyNumberFormat="1" applyFont="1" applyBorder="1" applyAlignment="1">
      <alignment horizontal="right" vertical="center" wrapText="1"/>
    </xf>
    <xf numFmtId="3" fontId="48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79" zoomScale="85" zoomScaleNormal="85" zoomScaleSheetLayoutView="100" zoomScalePageLayoutView="85" workbookViewId="0">
      <selection activeCell="H383" sqref="H38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120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139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898.47299999999996</v>
      </c>
      <c r="G23" s="28">
        <f t="shared" si="0"/>
        <v>42664.18881</v>
      </c>
      <c r="H23" s="11">
        <f t="shared" si="0"/>
        <v>18147.81119</v>
      </c>
      <c r="I23" s="11">
        <f t="shared" si="0"/>
        <v>61731.319210000001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898.473</f>
        <v>898.47299999999996</v>
      </c>
      <c r="G24" s="23">
        <f>42135.59052</f>
        <v>42135.590519999998</v>
      </c>
      <c r="H24" s="23">
        <f>E24-G24</f>
        <v>17906.409480000002</v>
      </c>
      <c r="I24" s="23">
        <f>61314.73086</f>
        <v>61314.730860000003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528.59829</f>
        <v>528.59829000000002</v>
      </c>
      <c r="H25" s="23">
        <f>E25-G25</f>
        <v>241.40170999999998</v>
      </c>
      <c r="I25" s="23">
        <f>416.58835</f>
        <v>416.58834999999999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527.05199999999991</v>
      </c>
      <c r="G26" s="11">
        <f t="shared" si="1"/>
        <v>125270.40385000002</v>
      </c>
      <c r="H26" s="11">
        <f t="shared" si="1"/>
        <v>19603.596149999998</v>
      </c>
      <c r="I26" s="11">
        <f t="shared" si="1"/>
        <v>175762.77364999999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397.95563999999996</v>
      </c>
      <c r="G27" s="132">
        <f t="shared" ref="G27:I27" si="2">G28+G29+G30+G31+G32</f>
        <v>102077.63200000001</v>
      </c>
      <c r="H27" s="132">
        <f t="shared" si="2"/>
        <v>10900.367999999999</v>
      </c>
      <c r="I27" s="132">
        <f t="shared" si="2"/>
        <v>139554.64181999999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55.26619</f>
        <v>55.266190000000002</v>
      </c>
      <c r="G28" s="127">
        <f>26520.9424 - G56</f>
        <v>25822.9424</v>
      </c>
      <c r="H28" s="127">
        <f t="shared" ref="H28:H40" si="3">E28-G28</f>
        <v>2807.0576000000001</v>
      </c>
      <c r="I28" s="127">
        <f>37270.68338 - I56</f>
        <v>36473.683380000002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201.73329</f>
        <v>201.73329000000001</v>
      </c>
      <c r="G29" s="127">
        <f>28805.35803 - G57</f>
        <v>27782.358029999999</v>
      </c>
      <c r="H29" s="127">
        <f t="shared" si="3"/>
        <v>1882.6419700000006</v>
      </c>
      <c r="I29" s="127">
        <f>39677.96956 - I57</f>
        <v>37871.969559999998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12.28896</f>
        <v>12.288959999999999</v>
      </c>
      <c r="G30" s="127">
        <f>26811.64294 - G58</f>
        <v>25656.642940000002</v>
      </c>
      <c r="H30" s="127">
        <f t="shared" si="3"/>
        <v>1587.3570599999985</v>
      </c>
      <c r="I30" s="127">
        <f>37430.7742 - I58</f>
        <v>34996.7742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10.6672</f>
        <v>10.667199999999999</v>
      </c>
      <c r="G31" s="127">
        <f>19939.68863 - G59</f>
        <v>18964.688630000001</v>
      </c>
      <c r="H31" s="127">
        <f t="shared" si="3"/>
        <v>374.31136999999944</v>
      </c>
      <c r="I31" s="127">
        <f>25175.21468 - I59</f>
        <v>24028.214680000001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118</v>
      </c>
      <c r="G32" s="127">
        <f>G55</f>
        <v>3851</v>
      </c>
      <c r="H32" s="127">
        <f t="shared" si="3"/>
        <v>4249</v>
      </c>
      <c r="I32" s="127">
        <f>I55</f>
        <v>6184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67.23</f>
        <v>67.23</v>
      </c>
      <c r="G33" s="132">
        <f>11067.74471</f>
        <v>11067.744710000001</v>
      </c>
      <c r="H33" s="132">
        <f t="shared" si="3"/>
        <v>5791.2552899999991</v>
      </c>
      <c r="I33" s="132">
        <f>15882.08904</f>
        <v>15882.089040000001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61.86636</v>
      </c>
      <c r="G34" s="132">
        <f>G35+G36</f>
        <v>12125.02714</v>
      </c>
      <c r="H34" s="132">
        <f t="shared" si="3"/>
        <v>2911.9728599999999</v>
      </c>
      <c r="I34" s="132">
        <f>I35+I36</f>
        <v>20326.04279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36.86636</f>
        <v>36.86636</v>
      </c>
      <c r="G35" s="132">
        <f>14948.02714 - G60 - G61</f>
        <v>11665.02714</v>
      </c>
      <c r="H35" s="127">
        <f t="shared" si="3"/>
        <v>2411.9728599999999</v>
      </c>
      <c r="I35" s="127">
        <f>24716.04279 - I60 - I61</f>
        <v>19755.04279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25</v>
      </c>
      <c r="G36" s="71">
        <f>G60</f>
        <v>460</v>
      </c>
      <c r="H36" s="71">
        <f t="shared" si="3"/>
        <v>500</v>
      </c>
      <c r="I36" s="71">
        <f>I60</f>
        <v>571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0.045</f>
        <v>4.4999999999999998E-2</v>
      </c>
      <c r="G38" s="98">
        <f>475.72423</f>
        <v>475.72422999999998</v>
      </c>
      <c r="H38" s="98">
        <f t="shared" si="3"/>
        <v>379.27577000000002</v>
      </c>
      <c r="I38" s="98">
        <f>505.04022</f>
        <v>505.04021999999998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5</v>
      </c>
      <c r="G39" s="98">
        <f>G61</f>
        <v>2823</v>
      </c>
      <c r="H39" s="98">
        <f t="shared" si="3"/>
        <v>177</v>
      </c>
      <c r="I39" s="98">
        <f>I61</f>
        <v>4390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2.54757</f>
        <v>2.5475699999999999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1.3408</f>
        <v>1.3408</v>
      </c>
      <c r="G41" s="98">
        <f>340.42232</f>
        <v>340.42232000000001</v>
      </c>
      <c r="H41" s="98">
        <f>E41-G41</f>
        <v>59.577679999999987</v>
      </c>
      <c r="I41" s="98">
        <f>355.69735</f>
        <v>355.69734999999997</v>
      </c>
      <c r="J41" s="244"/>
    </row>
    <row r="42" spans="1:13" ht="17.25" customHeight="1" x14ac:dyDescent="0.3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10.42028</f>
        <v>10.42028</v>
      </c>
      <c r="G43" s="139">
        <f>114.54783</f>
        <v>114.54783</v>
      </c>
      <c r="H43" s="139">
        <f t="shared" ref="H43" si="4">E43-G43</f>
        <v>-114.54783</v>
      </c>
      <c r="I43" s="139">
        <f>107.09192</f>
        <v>107.09192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1444.8786499999999</v>
      </c>
      <c r="G44" s="76">
        <f t="shared" si="5"/>
        <v>179036.65224000002</v>
      </c>
      <c r="H44" s="76">
        <f t="shared" si="5"/>
        <v>40004.347759999997</v>
      </c>
      <c r="I44" s="76">
        <f t="shared" si="5"/>
        <v>250598.71394999998</v>
      </c>
      <c r="J44" s="244"/>
    </row>
    <row r="45" spans="1:13" ht="14.15" customHeight="1" x14ac:dyDescent="0.3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1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1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1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1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1" ht="7.5" customHeight="1" thickBot="1" x14ac:dyDescent="0.4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1" ht="61.5" customHeight="1" thickBot="1" x14ac:dyDescent="0.4">
      <c r="A54" s="101"/>
      <c r="B54" s="24"/>
      <c r="C54" s="86" t="s">
        <v>16</v>
      </c>
      <c r="D54" s="68" t="s">
        <v>44</v>
      </c>
      <c r="E54" s="309" t="s">
        <v>151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58"/>
      <c r="K54" s="244"/>
    </row>
    <row r="55" spans="1:11" ht="14.15" customHeight="1" x14ac:dyDescent="0.35">
      <c r="A55" s="101"/>
      <c r="B55" s="24"/>
      <c r="C55" s="16" t="s">
        <v>45</v>
      </c>
      <c r="D55" s="295">
        <v>7872</v>
      </c>
      <c r="E55" s="310">
        <v>8100</v>
      </c>
      <c r="F55" s="11">
        <f>F59+F58+F57+F56</f>
        <v>118</v>
      </c>
      <c r="G55" s="11">
        <f>G59+G58+G57+G56</f>
        <v>3851</v>
      </c>
      <c r="H55" s="295">
        <f>E55-G55</f>
        <v>4249</v>
      </c>
      <c r="I55" s="11">
        <f>I59+I58+I57+I56</f>
        <v>6184</v>
      </c>
      <c r="J55" s="258"/>
      <c r="K55" s="244"/>
    </row>
    <row r="56" spans="1:11" ht="14.15" customHeight="1" x14ac:dyDescent="0.35">
      <c r="A56" s="101"/>
      <c r="B56" s="24"/>
      <c r="C56" s="62" t="s">
        <v>24</v>
      </c>
      <c r="D56" s="296"/>
      <c r="E56" s="311"/>
      <c r="F56" s="127">
        <v>45</v>
      </c>
      <c r="G56" s="127">
        <v>698</v>
      </c>
      <c r="H56" s="296"/>
      <c r="I56" s="127">
        <v>797</v>
      </c>
      <c r="J56" s="258"/>
      <c r="K56" s="244"/>
    </row>
    <row r="57" spans="1:11" ht="14.15" customHeight="1" x14ac:dyDescent="0.35">
      <c r="A57" s="101"/>
      <c r="B57" s="24"/>
      <c r="C57" s="62" t="s">
        <v>25</v>
      </c>
      <c r="D57" s="296"/>
      <c r="E57" s="311"/>
      <c r="F57" s="127">
        <v>52</v>
      </c>
      <c r="G57" s="127">
        <v>1023</v>
      </c>
      <c r="H57" s="296"/>
      <c r="I57" s="127">
        <v>1806</v>
      </c>
      <c r="J57" s="258"/>
      <c r="K57" s="244"/>
    </row>
    <row r="58" spans="1:11" ht="14.15" customHeight="1" x14ac:dyDescent="0.35">
      <c r="A58" s="101"/>
      <c r="B58" s="24"/>
      <c r="C58" s="62" t="s">
        <v>26</v>
      </c>
      <c r="D58" s="296"/>
      <c r="E58" s="311"/>
      <c r="F58" s="127">
        <v>14</v>
      </c>
      <c r="G58" s="127">
        <v>1155</v>
      </c>
      <c r="H58" s="296"/>
      <c r="I58" s="127">
        <v>2434</v>
      </c>
      <c r="J58" s="258"/>
      <c r="K58" s="244"/>
    </row>
    <row r="59" spans="1:11" ht="14.15" customHeight="1" thickBot="1" x14ac:dyDescent="0.4">
      <c r="A59" s="101"/>
      <c r="B59" s="24"/>
      <c r="C59" s="87" t="s">
        <v>27</v>
      </c>
      <c r="D59" s="297"/>
      <c r="E59" s="312"/>
      <c r="F59" s="192">
        <v>7</v>
      </c>
      <c r="G59" s="192">
        <v>975</v>
      </c>
      <c r="H59" s="297"/>
      <c r="I59" s="192">
        <v>1147</v>
      </c>
      <c r="J59" s="258"/>
      <c r="K59" s="244"/>
    </row>
    <row r="60" spans="1:11" ht="14.15" customHeight="1" thickBot="1" x14ac:dyDescent="0.4">
      <c r="A60" s="101"/>
      <c r="B60" s="24"/>
      <c r="C60" s="88" t="s">
        <v>46</v>
      </c>
      <c r="D60" s="95">
        <v>960</v>
      </c>
      <c r="E60" s="313">
        <v>960</v>
      </c>
      <c r="F60" s="95">
        <v>25</v>
      </c>
      <c r="G60" s="95">
        <v>460</v>
      </c>
      <c r="H60" s="95">
        <f>E60-G60</f>
        <v>500</v>
      </c>
      <c r="I60" s="95">
        <v>571</v>
      </c>
      <c r="J60" s="258"/>
      <c r="K60" s="244"/>
    </row>
    <row r="61" spans="1:11" ht="14.15" customHeight="1" thickBot="1" x14ac:dyDescent="0.4">
      <c r="A61" s="101"/>
      <c r="B61" s="24"/>
      <c r="C61" s="142" t="s">
        <v>47</v>
      </c>
      <c r="D61" s="139">
        <v>3000</v>
      </c>
      <c r="E61" s="314">
        <v>3000</v>
      </c>
      <c r="F61" s="139">
        <v>5</v>
      </c>
      <c r="G61" s="139">
        <v>2823</v>
      </c>
      <c r="H61" s="139">
        <f>E61-G61</f>
        <v>177</v>
      </c>
      <c r="I61" s="139">
        <v>4390</v>
      </c>
      <c r="J61" s="258"/>
      <c r="K61" s="244"/>
    </row>
    <row r="62" spans="1:11" ht="14.15" customHeight="1" x14ac:dyDescent="0.3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1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1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24.386600000000001</v>
      </c>
      <c r="G92" s="11">
        <f t="shared" si="6"/>
        <v>23573.912239999998</v>
      </c>
      <c r="H92" s="11">
        <f t="shared" si="6"/>
        <v>2387.0877600000013</v>
      </c>
      <c r="I92" s="11">
        <f t="shared" si="6"/>
        <v>39729.990419999995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24.3866</f>
        <v>24.386600000000001</v>
      </c>
      <c r="G93" s="23">
        <f>22781.89549</f>
        <v>22781.895489999999</v>
      </c>
      <c r="H93" s="23">
        <f>E93-G93</f>
        <v>2354.104510000001</v>
      </c>
      <c r="I93" s="23">
        <f>39213.71683</f>
        <v>39213.716829999998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792.01675</f>
        <v>792.01675</v>
      </c>
      <c r="H94" s="50">
        <f>E94-G94</f>
        <v>32.983249999999998</v>
      </c>
      <c r="I94" s="50">
        <f>516.27359</f>
        <v>516.27359000000001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277.89463000000001</v>
      </c>
      <c r="G95" s="11">
        <f t="shared" si="7"/>
        <v>39876.799249999996</v>
      </c>
      <c r="H95" s="11">
        <f t="shared" si="7"/>
        <v>9117.20075</v>
      </c>
      <c r="I95" s="11">
        <f t="shared" si="7"/>
        <v>30153.866460000001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218.04224000000002</v>
      </c>
      <c r="G96" s="132">
        <f t="shared" si="8"/>
        <v>32185.47366</v>
      </c>
      <c r="H96" s="132">
        <f t="shared" si="8"/>
        <v>5308.5263399999994</v>
      </c>
      <c r="I96" s="132">
        <f t="shared" si="8"/>
        <v>21660.86004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141.55421</f>
        <v>141.55421000000001</v>
      </c>
      <c r="G97" s="127">
        <f>5109.15588</f>
        <v>5109.1558800000003</v>
      </c>
      <c r="H97" s="127">
        <f t="shared" ref="H97:H104" si="9">E97-G97</f>
        <v>4905.8441199999997</v>
      </c>
      <c r="I97" s="127">
        <f>3378.06317</f>
        <v>3378.0631699999999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37.80498</f>
        <v>37.80498</v>
      </c>
      <c r="G98" s="127">
        <f>10463.06963</f>
        <v>10463.06963</v>
      </c>
      <c r="H98" s="127">
        <f t="shared" si="9"/>
        <v>150.93037000000004</v>
      </c>
      <c r="I98" s="127">
        <f>6623.36053</f>
        <v>6623.3605299999999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28.58721</f>
        <v>28.587209999999999</v>
      </c>
      <c r="G99" s="127">
        <f>9794.33942</f>
        <v>9794.3394200000002</v>
      </c>
      <c r="H99" s="127">
        <f t="shared" si="9"/>
        <v>317.66057999999975</v>
      </c>
      <c r="I99" s="127">
        <f>6515.69633</f>
        <v>6515.6963299999998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10.09584</f>
        <v>10.095840000000001</v>
      </c>
      <c r="G100" s="127">
        <f>6818.90873</f>
        <v>6818.9087300000001</v>
      </c>
      <c r="H100" s="127">
        <f t="shared" si="9"/>
        <v>-65.908730000000105</v>
      </c>
      <c r="I100" s="127">
        <f>5143.74001</f>
        <v>5143.7400100000004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3.2144</f>
        <v>3.2143999999999999</v>
      </c>
      <c r="G101" s="132">
        <f>5383.37419</f>
        <v>5383.3741900000005</v>
      </c>
      <c r="H101" s="132">
        <f t="shared" si="9"/>
        <v>2212.6258099999995</v>
      </c>
      <c r="I101" s="132">
        <f>6879.60622</f>
        <v>6879.6062199999997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56.63799</f>
        <v>56.637990000000002</v>
      </c>
      <c r="G102" s="75">
        <f>2307.9514</f>
        <v>2307.9513999999999</v>
      </c>
      <c r="H102" s="75">
        <f t="shared" si="9"/>
        <v>1596.0486000000001</v>
      </c>
      <c r="I102" s="75">
        <f>1613.4002</f>
        <v>1613.4002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0.0228</f>
        <v>2.2800000000000001E-2</v>
      </c>
      <c r="G103" s="98">
        <f>36.12456</f>
        <v>36.124560000000002</v>
      </c>
      <c r="H103" s="98">
        <f t="shared" si="9"/>
        <v>282.87544000000003</v>
      </c>
      <c r="I103" s="98">
        <f>11.34443</f>
        <v>11.344429999999999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0.03193</f>
        <v>3.193E-2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3.85264</f>
        <v>3.8526400000000001</v>
      </c>
      <c r="G105" s="98">
        <f>37.47021</f>
        <v>37.470210000000002</v>
      </c>
      <c r="H105" s="139">
        <f>E105-G105</f>
        <v>12.529789999999998</v>
      </c>
      <c r="I105" s="98">
        <f>8.9026</f>
        <v>8.9025999999999996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1.65528</f>
        <v>1.6552800000000001</v>
      </c>
      <c r="G106" s="139">
        <f>30.28938</f>
        <v>30.289380000000001</v>
      </c>
      <c r="H106" s="139">
        <f t="shared" ref="H106" si="10">E106-G106</f>
        <v>-30.289380000000001</v>
      </c>
      <c r="I106" s="139">
        <f>96.61676</f>
        <v>96.616759999999999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307.84388000000001</v>
      </c>
      <c r="G107" s="76">
        <f t="shared" si="12"/>
        <v>63854.595639999992</v>
      </c>
      <c r="H107" s="76">
        <f t="shared" si="12"/>
        <v>11769.404360000002</v>
      </c>
      <c r="I107" s="76">
        <f t="shared" si="12"/>
        <v>70300.720669999995</v>
      </c>
      <c r="J107" s="244"/>
    </row>
    <row r="108" spans="1:10" ht="13.5" customHeight="1" x14ac:dyDescent="0.3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3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910.26990000000001</v>
      </c>
      <c r="G128" s="11">
        <f t="shared" si="13"/>
        <v>47078.104950000001</v>
      </c>
      <c r="H128" s="11">
        <f t="shared" si="13"/>
        <v>25228.895049999999</v>
      </c>
      <c r="I128" s="11">
        <f t="shared" si="13"/>
        <v>53402.069449999995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910.2699</f>
        <v>910.26990000000001</v>
      </c>
      <c r="G129" s="23">
        <f>41567.03035</f>
        <v>41567.030350000001</v>
      </c>
      <c r="H129" s="23">
        <f>E129-G129</f>
        <v>15994.969649999999</v>
      </c>
      <c r="I129" s="23">
        <f>46892.68415</f>
        <v>46892.684150000001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5445.34745</f>
        <v>5445.3474500000002</v>
      </c>
      <c r="H130" s="23">
        <f>E130-G130</f>
        <v>8799.6525499999989</v>
      </c>
      <c r="I130" s="23">
        <f>6392.14225</f>
        <v>6392.1422499999999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65.72715</f>
        <v>65.727149999999995</v>
      </c>
      <c r="H131" s="55">
        <f>E131-G131</f>
        <v>434.27285000000001</v>
      </c>
      <c r="I131" s="23">
        <f>117.24305</f>
        <v>117.24305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1.885</f>
        <v>1.885</v>
      </c>
      <c r="G132" s="95">
        <f>15973.73565+5271.64315</f>
        <v>21245.378799999999</v>
      </c>
      <c r="H132" s="95">
        <f>E132-G132</f>
        <v>31250.621200000001</v>
      </c>
      <c r="I132" s="95">
        <f>38639.59218</f>
        <v>38639.59218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1172.6421699999999</v>
      </c>
      <c r="G133" s="94">
        <f t="shared" ref="G133" si="14">G134+G139+G142</f>
        <v>57635.5916</v>
      </c>
      <c r="H133" s="94">
        <f>H134+H139+H142</f>
        <v>22529.4084</v>
      </c>
      <c r="I133" s="94">
        <f>I134+I139+I142</f>
        <v>66070.740829999995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1007.2904799999999</v>
      </c>
      <c r="G134" s="125">
        <f>G135+G136+G138+G137</f>
        <v>43060.303639999998</v>
      </c>
      <c r="H134" s="125">
        <f>H135+H136+H137+H138</f>
        <v>16018.696359999998</v>
      </c>
      <c r="I134" s="125">
        <f>I135+I136+I137+I138</f>
        <v>52356.731030000003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271.10543</f>
        <v>271.10543000000001</v>
      </c>
      <c r="G135" s="127">
        <v>9559.0601399999996</v>
      </c>
      <c r="H135" s="127">
        <f>E135-G135</f>
        <v>8214.9398600000004</v>
      </c>
      <c r="I135" s="127">
        <f>8385.17431</f>
        <v>8385.1743100000003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312.44773</f>
        <v>312.44772999999998</v>
      </c>
      <c r="G136" s="127">
        <v>12413.004965</v>
      </c>
      <c r="H136" s="127">
        <f>E136-G136</f>
        <v>2525.9950349999999</v>
      </c>
      <c r="I136" s="127">
        <f>13713.70773</f>
        <v>13713.70773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271.72132</f>
        <v>271.72131999999999</v>
      </c>
      <c r="G137" s="127">
        <v>10649.129765000001</v>
      </c>
      <c r="H137" s="127">
        <f>E137-G137</f>
        <v>2401.8702349999985</v>
      </c>
      <c r="I137" s="127">
        <f>16665.52578</f>
        <v>16665.52578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152.016</f>
        <v>152.01599999999999</v>
      </c>
      <c r="G138" s="127">
        <v>10439.108770000001</v>
      </c>
      <c r="H138" s="127">
        <f>E138-G138</f>
        <v>2875.8912299999993</v>
      </c>
      <c r="I138" s="127">
        <f>13592.32321</f>
        <v>13592.32321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0.33479999999999999</v>
      </c>
      <c r="G139" s="132">
        <f>SUM(G140:G141)</f>
        <v>8905.6862199999996</v>
      </c>
      <c r="H139" s="132">
        <f>H140+H141</f>
        <v>24.313780000000406</v>
      </c>
      <c r="I139" s="132">
        <f>SUM(I140:I141)</f>
        <v>7077.6624099999999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0.3348</f>
        <v>0.33479999999999999</v>
      </c>
      <c r="G140" s="127">
        <f>8474.33383</f>
        <v>8474.3338299999996</v>
      </c>
      <c r="H140" s="127">
        <f t="shared" ref="H140:H148" si="15">E140-G140</f>
        <v>-44.33382999999958</v>
      </c>
      <c r="I140" s="127">
        <f>6823.3622</f>
        <v>6823.3621999999996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431.35239</f>
        <v>431.35239000000001</v>
      </c>
      <c r="H141" s="127">
        <f t="shared" si="15"/>
        <v>68.647609999999986</v>
      </c>
      <c r="I141" s="127">
        <f>254.30021</f>
        <v>254.30020999999999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165.01689</f>
        <v>165.01688999999999</v>
      </c>
      <c r="G142" s="75">
        <f>5669.60174</f>
        <v>5669.6017400000001</v>
      </c>
      <c r="H142" s="75">
        <f t="shared" si="15"/>
        <v>6486.3982599999999</v>
      </c>
      <c r="I142" s="75">
        <f>6636.34739</f>
        <v>6636.3473899999999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0.69795</f>
        <v>0.69794999999999996</v>
      </c>
      <c r="G143" s="139">
        <f>16.4105</f>
        <v>16.410499999999999</v>
      </c>
      <c r="H143" s="139">
        <f t="shared" si="15"/>
        <v>129.58949999999999</v>
      </c>
      <c r="I143" s="139">
        <f>31.4675</f>
        <v>31.467500000000001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3.93416</f>
        <v>3.9341599999999999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2.26645</f>
        <v>2.2664499999999999</v>
      </c>
      <c r="G147" s="98">
        <f>49.81716</f>
        <v>49.817160000000001</v>
      </c>
      <c r="H147" s="139">
        <f t="shared" si="15"/>
        <v>226.18284</v>
      </c>
      <c r="I147" s="98">
        <f>27.67143</f>
        <v>27.671430000000001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0.0729</f>
        <v>7.2900000000000006E-2</v>
      </c>
      <c r="G148" s="139">
        <f>120.12594</f>
        <v>120.12594</v>
      </c>
      <c r="H148" s="139">
        <f t="shared" si="15"/>
        <v>-120.12594</v>
      </c>
      <c r="I148" s="139">
        <f>106.12393</f>
        <v>106.12393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2091.7685299999998</v>
      </c>
      <c r="G150" s="76">
        <f>G128+G132+G133+G143+G144+G145+G146+G147+G148</f>
        <v>128401.46494999999</v>
      </c>
      <c r="H150" s="76">
        <f>H128+H132+H133+H143+H144+H145+H146+H147+H148</f>
        <v>79238.535050000006</v>
      </c>
      <c r="I150" s="76">
        <f>I128+I132+I133+I143+I144+I145+I146+I147+I148</f>
        <v>160540.24631999998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19.7421</f>
        <v>19.742100000000001</v>
      </c>
      <c r="F175" s="276">
        <f>1003.78822</f>
        <v>1003.78822</v>
      </c>
      <c r="G175" s="43">
        <f>D175-F175-F176</f>
        <v>1842.9398700000002</v>
      </c>
      <c r="H175" s="276">
        <f>1497.06664</f>
        <v>1497.06664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1376.27191</f>
        <v>1376.2719099999999</v>
      </c>
      <c r="G176" s="217"/>
      <c r="H176" s="152">
        <f>1677.92714</f>
        <v>1677.92714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5.92468</f>
        <v>5.9246800000000004</v>
      </c>
      <c r="F177" s="172">
        <f>106.45269</f>
        <v>106.45269</v>
      </c>
      <c r="G177" s="172">
        <f>D177-F177</f>
        <v>93.547309999999996</v>
      </c>
      <c r="H177" s="172">
        <f>74.6833</f>
        <v>74.683300000000003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9.4148199999999989</v>
      </c>
      <c r="F178" s="181">
        <f>F179+F180+F181</f>
        <v>5940.4998300000007</v>
      </c>
      <c r="G178" s="181">
        <f>D178-F178</f>
        <v>393.50016999999934</v>
      </c>
      <c r="H178" s="181">
        <f>H179+H180+H181</f>
        <v>8021.6826100000008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0.95716</f>
        <v>0.95716000000000001</v>
      </c>
      <c r="F179" s="127">
        <f>3087.91166</f>
        <v>3087.9116600000002</v>
      </c>
      <c r="G179" s="127"/>
      <c r="H179" s="127">
        <f>4160.92159</f>
        <v>4160.9215899999999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6.39753</f>
        <v>6.3975299999999997</v>
      </c>
      <c r="F180" s="127">
        <f>1805.25716</f>
        <v>1805.2571600000001</v>
      </c>
      <c r="G180" s="127"/>
      <c r="H180" s="127">
        <f>2459.40097</f>
        <v>2459.4009700000001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2.06013</f>
        <v>2.06013</v>
      </c>
      <c r="F181" s="192">
        <f>1047.33101</f>
        <v>1047.3310100000001</v>
      </c>
      <c r="G181" s="192"/>
      <c r="H181" s="192">
        <f>1401.36005</f>
        <v>1401.36005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35.081600000000002</v>
      </c>
      <c r="F184" s="194">
        <f>F175+F176+F177+F178+F182+F183</f>
        <v>8427.0126500000006</v>
      </c>
      <c r="G184" s="194">
        <f>D184-F184</f>
        <v>2395.9873499999994</v>
      </c>
      <c r="H184" s="194">
        <f>H175+H176+H177+H178+H182+H183</f>
        <v>11271.359690000001</v>
      </c>
      <c r="I184" s="163"/>
      <c r="J184" s="160"/>
    </row>
    <row r="185" spans="1:10" ht="42" customHeight="1" x14ac:dyDescent="0.3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314.23116</f>
        <v>314.23115999999999</v>
      </c>
      <c r="F204" s="124">
        <f>40317.5492</f>
        <v>40317.549200000001</v>
      </c>
      <c r="G204" s="124">
        <f>D204-F204</f>
        <v>5964.4507999999987</v>
      </c>
      <c r="H204" s="124">
        <f>40346.21613</f>
        <v>40346.216130000001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0.1529</f>
        <v>0.15290000000000001</v>
      </c>
      <c r="F205" s="124">
        <f>39.12582</f>
        <v>39.125819999999997</v>
      </c>
      <c r="G205" s="124">
        <f>D205-F205</f>
        <v>60.874180000000003</v>
      </c>
      <c r="H205" s="124">
        <f>64.89623</f>
        <v>64.896230000000003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314.38405999999998</v>
      </c>
      <c r="F207" s="190">
        <f>SUM(F204:F206)</f>
        <v>40356.675020000002</v>
      </c>
      <c r="G207" s="190">
        <f>D207-F207</f>
        <v>6061.3249799999976</v>
      </c>
      <c r="H207" s="190">
        <f>SUM(H204:H206)</f>
        <v>40411.112359999999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123</v>
      </c>
      <c r="D249" s="124">
        <v>3987</v>
      </c>
      <c r="E249" s="75">
        <f>E250+E251</f>
        <v>57.142799999999994</v>
      </c>
      <c r="F249" s="75">
        <f>F250+F251</f>
        <v>4119.6711800000003</v>
      </c>
      <c r="G249" s="75">
        <f>D249-F249</f>
        <v>-132.67118000000028</v>
      </c>
      <c r="H249" s="75">
        <f>H250+H251</f>
        <v>4063.92308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51.6446</f>
        <v>51.644599999999997</v>
      </c>
      <c r="F250" s="75">
        <f>3577.83894</f>
        <v>3577.8389400000001</v>
      </c>
      <c r="G250" s="75"/>
      <c r="H250" s="75">
        <f>3471.61314</f>
        <v>3471.6131399999999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5.4982</f>
        <v>5.4981999999999998</v>
      </c>
      <c r="F251" s="124">
        <f>541.83224</f>
        <v>541.83223999999996</v>
      </c>
      <c r="G251" s="168"/>
      <c r="H251" s="124">
        <f>592.30994</f>
        <v>592.30993999999998</v>
      </c>
      <c r="I251" s="248"/>
      <c r="J251" s="120"/>
    </row>
    <row r="252" spans="1:10" ht="15" customHeight="1" x14ac:dyDescent="0.35">
      <c r="A252" s="1"/>
      <c r="B252" s="254"/>
      <c r="C252" s="90" t="s">
        <v>124</v>
      </c>
      <c r="D252" s="124">
        <v>4613</v>
      </c>
      <c r="E252" s="75">
        <f>53.37812</f>
        <v>53.378120000000003</v>
      </c>
      <c r="F252" s="75">
        <f>5214.37697</f>
        <v>5214.3769700000003</v>
      </c>
      <c r="G252" s="75">
        <f>D252-F252</f>
        <v>-601.37697000000026</v>
      </c>
      <c r="H252" s="75">
        <f>5068.82015</f>
        <v>5068.8201499999996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110.52091999999999</v>
      </c>
      <c r="F253" s="190">
        <f>SUM(F249,F252)</f>
        <v>9334.0481500000005</v>
      </c>
      <c r="G253" s="190">
        <f>D253-F253</f>
        <v>-734.04815000000053</v>
      </c>
      <c r="H253" s="190">
        <f>SUM(H249,H252)</f>
        <v>9132.74323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123</v>
      </c>
      <c r="D295" s="124">
        <v>5090</v>
      </c>
      <c r="E295" s="75">
        <f>E296+E297</f>
        <v>124.06562</v>
      </c>
      <c r="F295" s="75">
        <f>F296+F297</f>
        <v>5131.0768399999997</v>
      </c>
      <c r="G295" s="75">
        <f>D295-F295</f>
        <v>-41.07683999999972</v>
      </c>
      <c r="H295" s="75">
        <f>H296+H297</f>
        <v>5840.3135999999995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120.9236</f>
        <v>120.92359999999999</v>
      </c>
      <c r="F296" s="75">
        <f>4670.46253</f>
        <v>4670.4625299999998</v>
      </c>
      <c r="G296" s="75"/>
      <c r="H296" s="75">
        <f>5348.44821</f>
        <v>5348.4482099999996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3.14202</f>
        <v>3.14202</v>
      </c>
      <c r="F297" s="124">
        <f>460.61431</f>
        <v>460.61430999999999</v>
      </c>
      <c r="G297" s="168"/>
      <c r="H297" s="124">
        <f>491.86539</f>
        <v>491.86538999999999</v>
      </c>
      <c r="I297" s="248"/>
      <c r="J297" s="120"/>
    </row>
    <row r="298" spans="1:10" ht="15" customHeight="1" x14ac:dyDescent="0.35">
      <c r="A298" s="1"/>
      <c r="B298" s="254"/>
      <c r="C298" s="90" t="s">
        <v>124</v>
      </c>
      <c r="D298" s="124">
        <v>2981</v>
      </c>
      <c r="E298" s="75">
        <f>68.34212</f>
        <v>68.342119999999994</v>
      </c>
      <c r="F298" s="75">
        <f>2589.29905</f>
        <v>2589.2990500000001</v>
      </c>
      <c r="G298" s="75">
        <f>D298-F298</f>
        <v>391.70094999999992</v>
      </c>
      <c r="H298" s="75">
        <f>3216.06542</f>
        <v>3216.0654199999999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192.40773999999999</v>
      </c>
      <c r="F299" s="190">
        <f>SUM(F295,F298)</f>
        <v>7720.3758899999993</v>
      </c>
      <c r="G299" s="190">
        <f>D299-F299</f>
        <v>350.62411000000066</v>
      </c>
      <c r="H299" s="190">
        <f>SUM(H295,H298)</f>
        <v>9056.3790200000003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8.66101</f>
        <v>8.6610099999999992</v>
      </c>
      <c r="F350" s="124">
        <f>562.77484</f>
        <v>562.77484000000004</v>
      </c>
      <c r="G350" s="124">
        <f>D350-F350</f>
        <v>237.22515999999996</v>
      </c>
      <c r="H350" s="124">
        <f>519.45202</f>
        <v>519.45201999999995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37.20058</f>
        <v>37.200580000000002</v>
      </c>
      <c r="F351" s="124">
        <f>2179.50238</f>
        <v>2179.5023799999999</v>
      </c>
      <c r="G351" s="124">
        <f>D351-F351</f>
        <v>861.4976200000001</v>
      </c>
      <c r="H351" s="124">
        <f>2502.58707</f>
        <v>2502.58707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0.248</f>
        <v>0.248</v>
      </c>
      <c r="G353" s="124">
        <f>D353-F353</f>
        <v>-0.248</v>
      </c>
      <c r="H353" s="168">
        <f>1.7076</f>
        <v>1.7076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45.86159</v>
      </c>
      <c r="F354" s="190">
        <f>SUM(F350:F353)</f>
        <v>2746.1348400000002</v>
      </c>
      <c r="G354" s="190">
        <f>D354-F354</f>
        <v>1104.8651599999998</v>
      </c>
      <c r="H354" s="190">
        <f>H350+H351+H352+H353</f>
        <v>3026.4854300000002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115</v>
      </c>
    </row>
    <row r="358" spans="1:10" ht="14.15" customHeight="1" x14ac:dyDescent="0.35">
      <c r="A358" s="1" t="s">
        <v>115</v>
      </c>
    </row>
    <row r="359" spans="1:10" ht="14.15" customHeight="1" x14ac:dyDescent="0.35">
      <c r="A359" s="1" t="s">
        <v>115</v>
      </c>
    </row>
    <row r="360" spans="1:10" ht="14.15" customHeight="1" x14ac:dyDescent="0.35">
      <c r="A360" s="1"/>
      <c r="C360" s="150" t="s">
        <v>115</v>
      </c>
    </row>
    <row r="361" spans="1:10" x14ac:dyDescent="0.35">
      <c r="A361" s="1"/>
      <c r="C361" s="150" t="s">
        <v>115</v>
      </c>
    </row>
    <row r="362" spans="1:10" ht="14.15" customHeight="1" x14ac:dyDescent="0.35">
      <c r="A362" s="1"/>
      <c r="C362" s="150" t="s">
        <v>115</v>
      </c>
    </row>
    <row r="363" spans="1:10" ht="14.15" customHeight="1" x14ac:dyDescent="0.35">
      <c r="A363" s="1"/>
      <c r="C363" s="150" t="s">
        <v>115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263.03606000000002</v>
      </c>
      <c r="G380" s="253">
        <f t="shared" si="17"/>
        <v>16265.268469999999</v>
      </c>
      <c r="H380" s="253">
        <f>H384+H383+H382+H381</f>
        <v>6703.73153</v>
      </c>
      <c r="I380" s="253">
        <f t="shared" si="17"/>
        <v>15312.130740000001</v>
      </c>
      <c r="J380" s="130"/>
    </row>
    <row r="381" spans="1:10" ht="14.15" customHeight="1" x14ac:dyDescent="0.35">
      <c r="A381" s="218"/>
      <c r="B381" s="72"/>
      <c r="C381" s="255" t="s">
        <v>104</v>
      </c>
      <c r="D381" s="256">
        <v>12051</v>
      </c>
      <c r="E381" s="256">
        <v>13190</v>
      </c>
      <c r="F381" s="257">
        <f>204.7463</f>
        <v>204.74629999999999</v>
      </c>
      <c r="G381" s="257">
        <f>10215.0741</f>
        <v>10215.0741</v>
      </c>
      <c r="H381" s="257">
        <f t="shared" ref="H381:H385" si="18">E381-G381</f>
        <v>2974.9259000000002</v>
      </c>
      <c r="I381" s="257">
        <f>9373.85021</f>
        <v>9373.8502100000005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1868.18502</f>
        <v>1868.1850199999999</v>
      </c>
      <c r="H382" s="257">
        <f t="shared" si="18"/>
        <v>1564.8149800000001</v>
      </c>
      <c r="I382" s="257">
        <f>1294.37055</f>
        <v>1294.3705500000001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33.49536</f>
        <v>33.495359999999998</v>
      </c>
      <c r="G383" s="257">
        <f>1796.13009</f>
        <v>1796.1300900000001</v>
      </c>
      <c r="H383" s="257">
        <f t="shared" si="18"/>
        <v>-313.13009000000011</v>
      </c>
      <c r="I383" s="257">
        <f>1769.50128</f>
        <v>1769.50128</v>
      </c>
      <c r="J383" s="130"/>
    </row>
    <row r="384" spans="1:10" ht="14.15" customHeight="1" x14ac:dyDescent="0.35">
      <c r="A384" s="218"/>
      <c r="B384" s="72"/>
      <c r="C384" s="262" t="s">
        <v>105</v>
      </c>
      <c r="D384" s="263">
        <v>4867</v>
      </c>
      <c r="E384" s="263">
        <v>4863</v>
      </c>
      <c r="F384" s="257">
        <f>24.7944</f>
        <v>24.7944</v>
      </c>
      <c r="G384" s="257">
        <f>2385.87926</f>
        <v>2385.8792600000002</v>
      </c>
      <c r="H384" s="257">
        <f t="shared" si="18"/>
        <v>2477.1207399999998</v>
      </c>
      <c r="I384" s="257">
        <f>2874.4087</f>
        <v>2874.4087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4.465</f>
        <v>4.4649999999999999</v>
      </c>
      <c r="G385" s="268">
        <f>2158.37178</f>
        <v>2158.3717799999999</v>
      </c>
      <c r="H385" s="268">
        <f t="shared" si="18"/>
        <v>3341.6282200000001</v>
      </c>
      <c r="I385" s="268">
        <f>5108.15528</f>
        <v>5108.1552799999999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236.6097</v>
      </c>
      <c r="G386" s="269">
        <f>G388+G387</f>
        <v>3371.3242500000001</v>
      </c>
      <c r="H386" s="269">
        <f>E386-G386</f>
        <v>4628.6757500000003</v>
      </c>
      <c r="I386" s="269">
        <f>I388+I387</f>
        <v>3760.3625699999998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8.4912</f>
        <v>8.4911999999999992</v>
      </c>
      <c r="G387" s="257">
        <f>1031.6583</f>
        <v>1031.6583000000001</v>
      </c>
      <c r="H387" s="257"/>
      <c r="I387" s="257">
        <f>851.74523</f>
        <v>851.74522999999999</v>
      </c>
      <c r="J387" s="130"/>
    </row>
    <row r="388" spans="1:10" ht="14.15" customHeight="1" x14ac:dyDescent="0.35">
      <c r="A388" s="218"/>
      <c r="B388" s="72"/>
      <c r="C388" s="273" t="s">
        <v>106</v>
      </c>
      <c r="D388" s="274"/>
      <c r="E388" s="277"/>
      <c r="F388" s="278">
        <f>228.1185</f>
        <v>228.11850000000001</v>
      </c>
      <c r="G388" s="278">
        <f>2339.66595</f>
        <v>2339.6659500000001</v>
      </c>
      <c r="H388" s="278"/>
      <c r="I388" s="278">
        <f>2908.61734</f>
        <v>2908.6173399999998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5" customHeight="1" x14ac:dyDescent="0.35">
      <c r="A390" s="218"/>
      <c r="B390" s="72"/>
      <c r="C390" s="279" t="s">
        <v>107</v>
      </c>
      <c r="D390" s="282"/>
      <c r="E390" s="283"/>
      <c r="F390" s="268">
        <f>0.05736</f>
        <v>5.7360000000000001E-2</v>
      </c>
      <c r="G390" s="268">
        <f>105.05435</f>
        <v>105.05435</v>
      </c>
      <c r="H390" s="268">
        <f>E390-G390</f>
        <v>-105.05435</v>
      </c>
      <c r="I390" s="268">
        <f>116.58302</f>
        <v>116.58302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504.16812000000004</v>
      </c>
      <c r="G391" s="287">
        <f t="shared" si="19"/>
        <v>21900.135249999999</v>
      </c>
      <c r="H391" s="287">
        <f>H380+H385+H386+H389+H390</f>
        <v>14581.864749999999</v>
      </c>
      <c r="I391" s="287">
        <f t="shared" si="19"/>
        <v>24297.305109999998</v>
      </c>
      <c r="J391" s="130"/>
    </row>
    <row r="392" spans="1:10" ht="14.15" customHeight="1" x14ac:dyDescent="0.3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115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142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112</v>
      </c>
      <c r="D413" s="204">
        <v>894</v>
      </c>
      <c r="E413" s="26">
        <f>SUM(E414:E415)</f>
        <v>34.189799999999998</v>
      </c>
      <c r="F413" s="26">
        <f>SUM(F414:F415)</f>
        <v>801.21248000000003</v>
      </c>
      <c r="G413" s="85">
        <f>D413-F413</f>
        <v>92.787519999999972</v>
      </c>
      <c r="H413" s="26">
        <f>SUM(H414:H415)</f>
        <v>763.34289999999999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25.7335</f>
        <v>25.733499999999999</v>
      </c>
      <c r="F414" s="205">
        <f>612.44158</f>
        <v>612.44158000000004</v>
      </c>
      <c r="G414" s="206"/>
      <c r="H414" s="205">
        <f>587.9651</f>
        <v>587.96510000000001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8.4563</f>
        <v>8.4563000000000006</v>
      </c>
      <c r="F415" s="208">
        <f>188.7709</f>
        <v>188.77090000000001</v>
      </c>
      <c r="G415" s="209"/>
      <c r="H415" s="208">
        <f>175.3778</f>
        <v>175.37780000000001</v>
      </c>
      <c r="I415" s="150"/>
      <c r="J415" s="130"/>
    </row>
    <row r="416" spans="1:10" ht="14.15" customHeight="1" x14ac:dyDescent="0.3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5" customHeight="1" x14ac:dyDescent="0.3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34.189799999999998</v>
      </c>
      <c r="F423" s="40">
        <f>F413+F416+F419+F422</f>
        <v>801.21248000000003</v>
      </c>
      <c r="G423" s="41">
        <f>D423-F423</f>
        <v>1879.7875199999999</v>
      </c>
      <c r="H423" s="40">
        <f>H413+H416+H419+H422</f>
        <v>763.34289999999999</v>
      </c>
      <c r="I423" s="27"/>
      <c r="J423" s="130"/>
    </row>
    <row r="424" spans="1:10" ht="42" customHeight="1" x14ac:dyDescent="0.35">
      <c r="A424" s="218"/>
      <c r="B424" s="72"/>
      <c r="C424" s="292" t="s">
        <v>119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D55:D59"/>
    <mergeCell ref="H55:H59"/>
    <mergeCell ref="C81:D81"/>
    <mergeCell ref="E81:F81"/>
    <mergeCell ref="G81:H81"/>
    <mergeCell ref="C407:F407"/>
    <mergeCell ref="E55:E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39&amp;R30.09.2024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2024-09-30T07:00:55Z</dcterms:modified>
</cp:coreProperties>
</file>