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Excel\2023\"/>
    </mc:Choice>
  </mc:AlternateContent>
  <xr:revisionPtr revIDLastSave="0" documentId="13_ncr:1_{58D33FFF-5C13-407A-B4D0-BF0606D266F1}" xr6:coauthVersionLast="47" xr6:coauthVersionMax="47" xr10:uidLastSave="{00000000-0000-0000-0000-000000000000}"/>
  <bookViews>
    <workbookView xWindow="-25710" yWindow="-50" windowWidth="25820" windowHeight="140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1" i="1" l="1"/>
  <c r="H419" i="1"/>
  <c r="F419" i="1"/>
  <c r="E419" i="1"/>
  <c r="H418" i="1"/>
  <c r="F418" i="1"/>
  <c r="F417" i="1" s="1"/>
  <c r="E418" i="1"/>
  <c r="E417" i="1" s="1"/>
  <c r="H417" i="1"/>
  <c r="H416" i="1"/>
  <c r="F416" i="1"/>
  <c r="E416" i="1"/>
  <c r="E414" i="1" s="1"/>
  <c r="H415" i="1"/>
  <c r="H414" i="1" s="1"/>
  <c r="F415" i="1"/>
  <c r="E415" i="1"/>
  <c r="F414" i="1"/>
  <c r="H413" i="1"/>
  <c r="F413" i="1"/>
  <c r="F411" i="1" s="1"/>
  <c r="E413" i="1"/>
  <c r="H412" i="1"/>
  <c r="F412" i="1"/>
  <c r="E412" i="1"/>
  <c r="H411" i="1"/>
  <c r="E411" i="1"/>
  <c r="E421" i="1" s="1"/>
  <c r="E389" i="1"/>
  <c r="I388" i="1"/>
  <c r="H388" i="1"/>
  <c r="G388" i="1"/>
  <c r="F388" i="1"/>
  <c r="I387" i="1"/>
  <c r="G387" i="1"/>
  <c r="H387" i="1" s="1"/>
  <c r="F387" i="1"/>
  <c r="I386" i="1"/>
  <c r="G386" i="1"/>
  <c r="G384" i="1" s="1"/>
  <c r="H384" i="1" s="1"/>
  <c r="F386" i="1"/>
  <c r="I385" i="1"/>
  <c r="G385" i="1"/>
  <c r="F385" i="1"/>
  <c r="I384" i="1"/>
  <c r="F384" i="1"/>
  <c r="I383" i="1"/>
  <c r="G383" i="1"/>
  <c r="H383" i="1" s="1"/>
  <c r="F383" i="1"/>
  <c r="I382" i="1"/>
  <c r="G382" i="1"/>
  <c r="H382" i="1" s="1"/>
  <c r="F382" i="1"/>
  <c r="I381" i="1"/>
  <c r="G381" i="1"/>
  <c r="H381" i="1" s="1"/>
  <c r="F381" i="1"/>
  <c r="I380" i="1"/>
  <c r="G380" i="1"/>
  <c r="H380" i="1" s="1"/>
  <c r="F380" i="1"/>
  <c r="I379" i="1"/>
  <c r="G379" i="1"/>
  <c r="H379" i="1" s="1"/>
  <c r="F379" i="1"/>
  <c r="I378" i="1"/>
  <c r="I389" i="1" s="1"/>
  <c r="G378" i="1"/>
  <c r="G389" i="1" s="1"/>
  <c r="F378" i="1"/>
  <c r="F389" i="1" s="1"/>
  <c r="E378" i="1"/>
  <c r="D378" i="1"/>
  <c r="D389" i="1" s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G348" i="1" s="1"/>
  <c r="E348" i="1"/>
  <c r="E352" i="1" s="1"/>
  <c r="D341" i="1"/>
  <c r="E297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H252" i="1"/>
  <c r="H251" i="1"/>
  <c r="F251" i="1"/>
  <c r="E251" i="1"/>
  <c r="H250" i="1"/>
  <c r="F250" i="1"/>
  <c r="F252" i="1" s="1"/>
  <c r="G252" i="1" s="1"/>
  <c r="E250" i="1"/>
  <c r="H249" i="1"/>
  <c r="F249" i="1"/>
  <c r="E249" i="1"/>
  <c r="E252" i="1" s="1"/>
  <c r="D207" i="1"/>
  <c r="G206" i="1"/>
  <c r="H205" i="1"/>
  <c r="G205" i="1"/>
  <c r="F205" i="1"/>
  <c r="E205" i="1"/>
  <c r="E207" i="1" s="1"/>
  <c r="H204" i="1"/>
  <c r="H207" i="1" s="1"/>
  <c r="F204" i="1"/>
  <c r="F207" i="1" s="1"/>
  <c r="G207" i="1" s="1"/>
  <c r="E204" i="1"/>
  <c r="D184" i="1"/>
  <c r="H182" i="1"/>
  <c r="G182" i="1"/>
  <c r="F182" i="1"/>
  <c r="E182" i="1"/>
  <c r="H181" i="1"/>
  <c r="F181" i="1"/>
  <c r="E181" i="1"/>
  <c r="H180" i="1"/>
  <c r="F180" i="1"/>
  <c r="F178" i="1" s="1"/>
  <c r="G178" i="1" s="1"/>
  <c r="E180" i="1"/>
  <c r="E178" i="1" s="1"/>
  <c r="E184" i="1" s="1"/>
  <c r="H179" i="1"/>
  <c r="H178" i="1" s="1"/>
  <c r="F179" i="1"/>
  <c r="E179" i="1"/>
  <c r="H177" i="1"/>
  <c r="G177" i="1"/>
  <c r="F177" i="1"/>
  <c r="E177" i="1"/>
  <c r="H176" i="1"/>
  <c r="F176" i="1"/>
  <c r="G175" i="1" s="1"/>
  <c r="E176" i="1"/>
  <c r="H175" i="1"/>
  <c r="F175" i="1"/>
  <c r="F184" i="1" s="1"/>
  <c r="G184" i="1" s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H139" i="1" s="1"/>
  <c r="G140" i="1"/>
  <c r="F140" i="1"/>
  <c r="I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G134" i="1"/>
  <c r="F135" i="1"/>
  <c r="I134" i="1"/>
  <c r="F134" i="1"/>
  <c r="E134" i="1"/>
  <c r="I133" i="1"/>
  <c r="F133" i="1"/>
  <c r="E133" i="1"/>
  <c r="I132" i="1"/>
  <c r="H132" i="1"/>
  <c r="F132" i="1"/>
  <c r="H131" i="1"/>
  <c r="I130" i="1"/>
  <c r="H130" i="1"/>
  <c r="G130" i="1"/>
  <c r="F130" i="1"/>
  <c r="I129" i="1"/>
  <c r="I128" i="1" s="1"/>
  <c r="I150" i="1" s="1"/>
  <c r="G129" i="1"/>
  <c r="G128" i="1" s="1"/>
  <c r="F129" i="1"/>
  <c r="F128" i="1" s="1"/>
  <c r="F150" i="1" s="1"/>
  <c r="E128" i="1"/>
  <c r="E150" i="1" s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I96" i="1" s="1"/>
  <c r="I95" i="1" s="1"/>
  <c r="G98" i="1"/>
  <c r="H98" i="1" s="1"/>
  <c r="F98" i="1"/>
  <c r="I97" i="1"/>
  <c r="G97" i="1"/>
  <c r="G96" i="1" s="1"/>
  <c r="G95" i="1" s="1"/>
  <c r="F97" i="1"/>
  <c r="F96" i="1"/>
  <c r="F95" i="1" s="1"/>
  <c r="E96" i="1"/>
  <c r="E95" i="1" s="1"/>
  <c r="D96" i="1"/>
  <c r="D95" i="1"/>
  <c r="D107" i="1" s="1"/>
  <c r="I94" i="1"/>
  <c r="G94" i="1"/>
  <c r="H94" i="1" s="1"/>
  <c r="H92" i="1" s="1"/>
  <c r="F94" i="1"/>
  <c r="I93" i="1"/>
  <c r="I92" i="1" s="1"/>
  <c r="G93" i="1"/>
  <c r="H93" i="1" s="1"/>
  <c r="F93" i="1"/>
  <c r="F92" i="1" s="1"/>
  <c r="F107" i="1" s="1"/>
  <c r="G92" i="1"/>
  <c r="E92" i="1"/>
  <c r="E107" i="1" s="1"/>
  <c r="C89" i="1"/>
  <c r="H85" i="1"/>
  <c r="F85" i="1"/>
  <c r="D85" i="1"/>
  <c r="G61" i="1"/>
  <c r="G60" i="1"/>
  <c r="H55" i="1"/>
  <c r="G55" i="1"/>
  <c r="F55" i="1"/>
  <c r="G32" i="1" s="1"/>
  <c r="E55" i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G35" i="1"/>
  <c r="G34" i="1" s="1"/>
  <c r="F35" i="1"/>
  <c r="F34" i="1" s="1"/>
  <c r="F26" i="1" s="1"/>
  <c r="I33" i="1"/>
  <c r="H33" i="1"/>
  <c r="G33" i="1"/>
  <c r="F33" i="1"/>
  <c r="I32" i="1"/>
  <c r="F32" i="1"/>
  <c r="I31" i="1"/>
  <c r="H31" i="1"/>
  <c r="G31" i="1"/>
  <c r="F31" i="1"/>
  <c r="I30" i="1"/>
  <c r="G30" i="1"/>
  <c r="H30" i="1" s="1"/>
  <c r="F30" i="1"/>
  <c r="I29" i="1"/>
  <c r="I27" i="1" s="1"/>
  <c r="H29" i="1"/>
  <c r="G29" i="1"/>
  <c r="F29" i="1"/>
  <c r="I28" i="1"/>
  <c r="G28" i="1"/>
  <c r="H28" i="1" s="1"/>
  <c r="F28" i="1"/>
  <c r="F27" i="1"/>
  <c r="I25" i="1"/>
  <c r="G25" i="1"/>
  <c r="H25" i="1" s="1"/>
  <c r="H23" i="1" s="1"/>
  <c r="F25" i="1"/>
  <c r="F23" i="1" s="1"/>
  <c r="I24" i="1"/>
  <c r="G24" i="1"/>
  <c r="H24" i="1" s="1"/>
  <c r="F24" i="1"/>
  <c r="I23" i="1"/>
  <c r="G23" i="1"/>
  <c r="H16" i="1"/>
  <c r="F16" i="1"/>
  <c r="D16" i="1"/>
  <c r="H35" i="1" l="1"/>
  <c r="F44" i="1"/>
  <c r="H34" i="1"/>
  <c r="I26" i="1"/>
  <c r="I44" i="1" s="1"/>
  <c r="G27" i="1"/>
  <c r="G26" i="1" s="1"/>
  <c r="G44" i="1" s="1"/>
  <c r="H32" i="1"/>
  <c r="H184" i="1"/>
  <c r="G352" i="1"/>
  <c r="H421" i="1"/>
  <c r="H378" i="1"/>
  <c r="H389" i="1" s="1"/>
  <c r="H27" i="1"/>
  <c r="G107" i="1"/>
  <c r="I107" i="1"/>
  <c r="H133" i="1"/>
  <c r="G421" i="1"/>
  <c r="F421" i="1"/>
  <c r="G139" i="1"/>
  <c r="G133" i="1" s="1"/>
  <c r="G150" i="1" s="1"/>
  <c r="H129" i="1"/>
  <c r="H128" i="1" s="1"/>
  <c r="H97" i="1"/>
  <c r="H96" i="1" s="1"/>
  <c r="H95" i="1" s="1"/>
  <c r="H107" i="1" s="1"/>
  <c r="G204" i="1"/>
  <c r="F352" i="1"/>
  <c r="H150" i="1" l="1"/>
  <c r="H26" i="1"/>
  <c r="H44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<sst xmlns="http://schemas.openxmlformats.org/spreadsheetml/2006/main" count="357" uniqueCount="149">
  <si>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</si>
  <si>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</si>
  <si>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</si>
  <si>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</si>
  <si>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</si>
  <si>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</si>
  <si>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</si>
  <si>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</si>
  <si>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</si>
  <si>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</si>
  <si>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</si>
  <si>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</si>
  <si>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</si>
  <si>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</si>
  <si>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</si>
  <si>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</si>
  <si>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</si>
  <si>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</si>
  <si>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</si>
  <si>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</si>
  <si>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</si>
  <si>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</si>
  <si>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</si>
  <si>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</si>
  <si>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</si>
  <si>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</si>
  <si>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</si>
  <si>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</si>
  <si>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</si>
  <si>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</si>
  <si>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</si>
  <si>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</si>
  <si>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</si>
  <si>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</si>
  <si>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</si>
  <si>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</si>
  <si>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</si>
  <si>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</si>
  <si>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</si>
  <si>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</si>
  <si>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</si>
  <si>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</si>
  <si>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</si>
  <si>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</si>
  <si>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</si>
  <si>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</si>
  <si>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</si>
  <si>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</si>
  <si>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</si>
  <si>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</si>
  <si>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</si>
  <si>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</si>
  <si>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</si>
  <si>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</si>
  <si>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</si>
  <si>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</si>
  <si>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</si>
  <si>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</si>
  <si>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</si>
  <si>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</si>
  <si>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</si>
  <si>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</si>
  <si>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</si>
  <si>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</si>
  <si>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</si>
  <si>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</si>
  <si>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</si>
  <si>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</si>
  <si>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</si>
  <si>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</si>
  <si>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</si>
  <si>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</si>
  <si>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</si>
  <si>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</si>
  <si>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</si>
  <si>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</si>
  <si>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</si>
  <si>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</si>
  <si>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</si>
  <si>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</si>
  <si>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</si>
  <si>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</si>
  <si>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</si>
  <si>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</si>
  <si>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</si>
  <si>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</si>
  <si>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</si>
  <si>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</si>
  <si>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</si>
  <si>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</si>
  <si>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</si>
  <si>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</si>
  <si>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</si>
  <si>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</si>
  <si>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</si>
  <si>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</si>
  <si>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</si>
  <si>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</si>
  <si>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</si>
  <si>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</si>
  <si>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</si>
  <si>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</si>
  <si>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</si>
  <si>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</si>
  <si>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</si>
  <si>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</si>
  <si>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</si>
  <si>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</si>
  <si>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</si>
  <si>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</si>
  <si>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</si>
  <si>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</si>
  <si>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</si>
  <si>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</si>
  <si>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</si>
  <si>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</si>
  <si>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</si>
  <si>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</si>
  <si>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</si>
  <si>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</si>
  <si>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</si>
  <si>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</si>
  <si>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</si>
  <si>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</si>
  <si>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</si>
  <si>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</si>
  <si>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</si>
  <si>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</si>
  <si>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</si>
  <si>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</si>
  <si>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</si>
  <si>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</si>
  <si>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</si>
  <si>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</si>
  <si>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</si>
  <si>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</si>
  <si>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</si>
  <si>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</si>
  <si>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</si>
  <si>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</si>
  <si>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UKE 27</t>
  </si>
  <si>
    <t>FANGST T.O.M UKE 27</t>
  </si>
  <si>
    <t>RESTKVOTER UKE 27</t>
  </si>
  <si>
    <t>FANGST T.O.M UKE 27 2022</t>
  </si>
  <si>
    <r>
      <t>3</t>
    </r>
    <r>
      <rPr>
        <sz val="9"/>
        <color indexed="8"/>
        <rFont val="Calibri"/>
        <family val="2"/>
      </rPr>
      <t xml:space="preserve"> Det er fisket 2 427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</si>
  <si>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421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</si>
  <si>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560 tonn, men det legges til grunn at hele avsetningen tas</t>
    </r>
  </si>
  <si>
    <t>Grunnet endringer i reguleringen, er fangstene ikke avregnet periodekvoter. Fangsttallene gjelder for hele 2023.Statistikk i henhold til ny regulering kommer på et senere tidspunkt.</t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</si>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</sst>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608"/>
  <sheetViews>
    <sheetView showGridLines="0" tabSelected="1" showRuler="0" view="pageLayout" topLeftCell="A402" zoomScale="85" zoomScaleNormal="115" zoomScaleSheetLayoutView="100" zoomScalePageLayoutView="85" workbookViewId="0">
      <selection activeCell="J419" sqref="J41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25.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7" t="s">
        <v>135</v>
      </c>
      <c r="C2" s="298"/>
      <c r="D2" s="298"/>
      <c r="E2" s="298"/>
      <c r="F2" s="298"/>
      <c r="G2" s="298"/>
      <c r="H2" s="298"/>
      <c r="I2" s="298"/>
      <c r="J2" s="299"/>
    </row>
    <row r="3" spans="1:10" ht="14.9" customHeight="1" x14ac:dyDescent="0.3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3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5" customHeight="1" x14ac:dyDescent="0.3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5" customHeight="1" x14ac:dyDescent="0.3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3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3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3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5" customHeight="1" x14ac:dyDescent="0.3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3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3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3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3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3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3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5" customHeight="1" x14ac:dyDescent="0.3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91.942499999999995</v>
      </c>
      <c r="G23" s="28">
        <f t="shared" si="0"/>
        <v>48128.781449999995</v>
      </c>
      <c r="H23" s="11">
        <f t="shared" si="0"/>
        <v>38698.218550000005</v>
      </c>
      <c r="I23" s="11">
        <f t="shared" si="0"/>
        <v>59114.248770000006</v>
      </c>
      <c r="J23" s="242"/>
    </row>
    <row r="24" spans="1:10" ht="14.15" customHeight="1" x14ac:dyDescent="0.35">
      <c r="A24" s="1"/>
      <c r="B24" s="252"/>
      <c r="C24" s="47" t="s">
        <v>20</v>
      </c>
      <c r="D24" s="48">
        <v>79217</v>
      </c>
      <c r="E24" s="48">
        <v>86045</v>
      </c>
      <c r="F24" s="23">
        <f>91.9425</f>
        <v>91.942499999999995</v>
      </c>
      <c r="G24" s="23">
        <f>47790.22521</f>
        <v>47790.225209999997</v>
      </c>
      <c r="H24" s="23">
        <f>E24-G24</f>
        <v>38254.774790000003</v>
      </c>
      <c r="I24" s="23">
        <f>58810.9498</f>
        <v>58810.949800000002</v>
      </c>
      <c r="J24" s="242"/>
    </row>
    <row r="25" spans="1:10" ht="14.15" customHeight="1" x14ac:dyDescent="0.3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338.55624</f>
        <v>338.55624</v>
      </c>
      <c r="H25" s="23">
        <f>E25-G25</f>
        <v>443.44376</v>
      </c>
      <c r="I25" s="23">
        <f>303.29897</f>
        <v>303.29897</v>
      </c>
      <c r="J25" s="242"/>
    </row>
    <row r="26" spans="1:10" ht="14.15" customHeight="1" x14ac:dyDescent="0.3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977.42192000000011</v>
      </c>
      <c r="G26" s="11">
        <f t="shared" si="1"/>
        <v>166179.58619</v>
      </c>
      <c r="H26" s="11">
        <f t="shared" si="1"/>
        <v>31390.413809999998</v>
      </c>
      <c r="I26" s="11">
        <f t="shared" si="1"/>
        <v>202668.35107999999</v>
      </c>
      <c r="J26" s="242"/>
    </row>
    <row r="27" spans="1:10" ht="15" customHeight="1" x14ac:dyDescent="0.3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770.37213000000008</v>
      </c>
      <c r="G27" s="134">
        <f t="shared" ref="G27:I27" si="2">G28+G29+G30+G31+G32</f>
        <v>131846.83929</v>
      </c>
      <c r="H27" s="134">
        <f t="shared" si="2"/>
        <v>20804.16071</v>
      </c>
      <c r="I27" s="134">
        <f t="shared" si="2"/>
        <v>165996.5367</v>
      </c>
      <c r="J27" s="242"/>
    </row>
    <row r="28" spans="1:10" ht="14.15" customHeight="1" x14ac:dyDescent="0.35">
      <c r="A28" s="199"/>
      <c r="B28" s="184"/>
      <c r="C28" s="64" t="s">
        <v>24</v>
      </c>
      <c r="D28" s="65">
        <v>32925</v>
      </c>
      <c r="E28" s="65">
        <v>39549</v>
      </c>
      <c r="F28" s="205">
        <f>134.30606</f>
        <v>134.30606</v>
      </c>
      <c r="G28" s="129">
        <f>36168.8278799999 - F57</f>
        <v>36168.827879999997</v>
      </c>
      <c r="H28" s="129">
        <f t="shared" ref="H28:H40" si="3">E28-G28</f>
        <v>3380.1721200000029</v>
      </c>
      <c r="I28" s="129">
        <f>42221.45437 - H57</f>
        <v>42221.454369999999</v>
      </c>
      <c r="J28" s="67"/>
    </row>
    <row r="29" spans="1:10" ht="14.15" customHeight="1" x14ac:dyDescent="0.35">
      <c r="A29" s="199"/>
      <c r="B29" s="184"/>
      <c r="C29" s="64" t="s">
        <v>25</v>
      </c>
      <c r="D29" s="65">
        <v>36657</v>
      </c>
      <c r="E29" s="65">
        <v>40764</v>
      </c>
      <c r="F29" s="129">
        <f>240.28264</f>
        <v>240.28263999999999</v>
      </c>
      <c r="G29" s="129">
        <f>37167.58157 - F58</f>
        <v>37167.581570000002</v>
      </c>
      <c r="H29" s="129">
        <f t="shared" si="3"/>
        <v>3596.4184299999979</v>
      </c>
      <c r="I29" s="129">
        <f>44984.55739 - H58</f>
        <v>44984.557390000002</v>
      </c>
      <c r="J29" s="67"/>
    </row>
    <row r="30" spans="1:10" ht="14.15" customHeight="1" x14ac:dyDescent="0.35">
      <c r="A30" s="199"/>
      <c r="B30" s="184"/>
      <c r="C30" s="64" t="s">
        <v>26</v>
      </c>
      <c r="D30" s="65">
        <v>33272</v>
      </c>
      <c r="E30" s="65">
        <v>37267</v>
      </c>
      <c r="F30" s="129">
        <f>297.411</f>
        <v>297.411</v>
      </c>
      <c r="G30" s="129">
        <f>34842.10688 - F59</f>
        <v>34842.106879999999</v>
      </c>
      <c r="H30" s="129">
        <f t="shared" si="3"/>
        <v>2424.8931200000006</v>
      </c>
      <c r="I30" s="129">
        <f>45940.61692 - H59</f>
        <v>45940.61692</v>
      </c>
      <c r="J30" s="67"/>
    </row>
    <row r="31" spans="1:10" ht="14.15" customHeight="1" x14ac:dyDescent="0.35">
      <c r="A31" s="199"/>
      <c r="B31" s="184"/>
      <c r="C31" s="64" t="s">
        <v>27</v>
      </c>
      <c r="D31" s="65">
        <v>24281</v>
      </c>
      <c r="E31" s="65">
        <v>25407</v>
      </c>
      <c r="F31" s="129">
        <f>98.37243</f>
        <v>98.372429999999994</v>
      </c>
      <c r="G31" s="129">
        <f>23668.32296 - F60</f>
        <v>23668.322960000001</v>
      </c>
      <c r="H31" s="129">
        <f t="shared" si="3"/>
        <v>1738.6770399999987</v>
      </c>
      <c r="I31" s="129">
        <f>32849.90802 - H60</f>
        <v>32849.908020000003</v>
      </c>
      <c r="J31" s="67"/>
    </row>
    <row r="32" spans="1:10" ht="14.15" customHeight="1" x14ac:dyDescent="0.3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5" customHeight="1" x14ac:dyDescent="0.35">
      <c r="A33" s="69"/>
      <c r="B33" s="55"/>
      <c r="C33" s="59" t="s">
        <v>29</v>
      </c>
      <c r="D33" s="60">
        <v>21768</v>
      </c>
      <c r="E33" s="60">
        <v>23586</v>
      </c>
      <c r="F33" s="134">
        <f>123.56169</f>
        <v>123.56169</v>
      </c>
      <c r="G33" s="134">
        <f>14333.31218</f>
        <v>14333.312180000001</v>
      </c>
      <c r="H33" s="134">
        <f t="shared" si="3"/>
        <v>9252.6878199999992</v>
      </c>
      <c r="I33" s="134">
        <f>17093.06839</f>
        <v>17093.06839</v>
      </c>
      <c r="J33" s="67"/>
    </row>
    <row r="34" spans="1:13" ht="14.15" customHeight="1" x14ac:dyDescent="0.3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83.488100000000003</v>
      </c>
      <c r="G34" s="134">
        <f>G35+G36</f>
        <v>19999.434720000001</v>
      </c>
      <c r="H34" s="134">
        <f t="shared" si="3"/>
        <v>1333.5652799999989</v>
      </c>
      <c r="I34" s="134">
        <f>I35+I36</f>
        <v>19578.745989999999</v>
      </c>
      <c r="J34" s="67"/>
    </row>
    <row r="35" spans="1:13" ht="14.15" customHeight="1" x14ac:dyDescent="0.35">
      <c r="A35" s="199"/>
      <c r="B35" s="184"/>
      <c r="C35" s="64" t="s">
        <v>31</v>
      </c>
      <c r="D35" s="65">
        <v>15290</v>
      </c>
      <c r="E35" s="65">
        <v>20133</v>
      </c>
      <c r="F35" s="129">
        <f>83.4881</f>
        <v>83.488100000000003</v>
      </c>
      <c r="G35" s="134">
        <f>24166.43472 - F61 - F62</f>
        <v>19999.434720000001</v>
      </c>
      <c r="H35" s="129">
        <f t="shared" si="3"/>
        <v>133.56527999999889</v>
      </c>
      <c r="I35" s="129">
        <f>21116.74599 - H61 - H62</f>
        <v>19578.745989999999</v>
      </c>
      <c r="J35" s="67"/>
    </row>
    <row r="36" spans="1:13" ht="14.15" customHeight="1" x14ac:dyDescent="0.3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3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379.6209</f>
        <v>379.62090000000001</v>
      </c>
      <c r="H37" s="141">
        <f t="shared" si="3"/>
        <v>2620.3791000000001</v>
      </c>
      <c r="I37" s="141">
        <f>333.80295</f>
        <v>333.80295000000001</v>
      </c>
      <c r="J37" s="242"/>
    </row>
    <row r="38" spans="1:13" ht="14.15" customHeight="1" x14ac:dyDescent="0.3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486.26274</f>
        <v>486.26274000000001</v>
      </c>
      <c r="H38" s="100">
        <f t="shared" si="3"/>
        <v>364.73725999999999</v>
      </c>
      <c r="I38" s="100">
        <f>458.36041</f>
        <v>458.36041</v>
      </c>
      <c r="J38" s="242"/>
    </row>
    <row r="39" spans="1:13" ht="17.25" customHeight="1" x14ac:dyDescent="0.3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26</v>
      </c>
      <c r="G39" s="100">
        <f>F61</f>
        <v>4167</v>
      </c>
      <c r="H39" s="100">
        <f t="shared" si="3"/>
        <v>-1119</v>
      </c>
      <c r="I39" s="100">
        <f>H61</f>
        <v>1538</v>
      </c>
      <c r="J39" s="242"/>
    </row>
    <row r="40" spans="1:13" ht="17.25" customHeight="1" x14ac:dyDescent="0.35">
      <c r="A40" s="1"/>
      <c r="B40" s="252"/>
      <c r="C40" s="75" t="s">
        <v>36</v>
      </c>
      <c r="D40" s="145">
        <v>7000</v>
      </c>
      <c r="E40" s="145">
        <v>7000</v>
      </c>
      <c r="F40" s="100">
        <f>17.1468</f>
        <v>17.146799999999999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3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3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5" customHeight="1" x14ac:dyDescent="0.3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3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1112.51422</v>
      </c>
      <c r="G44" s="78">
        <f t="shared" si="4"/>
        <v>226420.81228000004</v>
      </c>
      <c r="H44" s="78">
        <f t="shared" si="4"/>
        <v>72275.187719999973</v>
      </c>
      <c r="I44" s="78">
        <f t="shared" si="4"/>
        <v>271233.70163999998</v>
      </c>
      <c r="J44" s="242"/>
    </row>
    <row r="45" spans="1:13" ht="14.15" customHeight="1" x14ac:dyDescent="0.3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5" customHeight="1" x14ac:dyDescent="0.3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5" customHeight="1" x14ac:dyDescent="0.3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5" customHeight="1" x14ac:dyDescent="0.3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5" customHeight="1" x14ac:dyDescent="0.3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5" customHeight="1" x14ac:dyDescent="0.3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3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3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3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3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5" customHeight="1" x14ac:dyDescent="0.3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5" customHeight="1" x14ac:dyDescent="0.3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5" customHeight="1" x14ac:dyDescent="0.3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5" customHeight="1" x14ac:dyDescent="0.3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5" customHeight="1" x14ac:dyDescent="0.3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5" customHeight="1" x14ac:dyDescent="0.3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5" customHeight="1" x14ac:dyDescent="0.35">
      <c r="A61" s="101"/>
      <c r="B61" s="24"/>
      <c r="C61" s="144" t="s">
        <v>48</v>
      </c>
      <c r="D61" s="141">
        <v>3000</v>
      </c>
      <c r="E61" s="141">
        <v>26</v>
      </c>
      <c r="F61" s="141">
        <v>4167</v>
      </c>
      <c r="G61" s="141">
        <f>D61-F61</f>
        <v>-1167</v>
      </c>
      <c r="H61" s="141">
        <v>1538</v>
      </c>
      <c r="I61" s="256"/>
      <c r="J61" s="242"/>
    </row>
    <row r="62" spans="1:10" ht="14.15" customHeight="1" x14ac:dyDescent="0.3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5" customHeight="1" x14ac:dyDescent="0.3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3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3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3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49999999999999" customHeight="1" x14ac:dyDescent="0.3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7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3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3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3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5" customHeight="1" x14ac:dyDescent="0.3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3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35">
      <c r="A86" s="1"/>
      <c r="B86" s="252"/>
      <c r="C86" s="101" t="s">
        <v>137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3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5" customHeight="1" x14ac:dyDescent="0.3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3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4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3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5" customHeight="1" x14ac:dyDescent="0.3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11.1426</v>
      </c>
      <c r="G92" s="11">
        <f t="shared" si="5"/>
        <v>38811.982399999994</v>
      </c>
      <c r="H92" s="11">
        <f t="shared" si="5"/>
        <v>-4012.9823999999971</v>
      </c>
      <c r="I92" s="11">
        <f t="shared" si="5"/>
        <v>35183.645689999998</v>
      </c>
      <c r="J92" s="242"/>
    </row>
    <row r="93" spans="1:10" ht="15" customHeight="1" x14ac:dyDescent="0.35">
      <c r="A93" s="1"/>
      <c r="B93" s="252"/>
      <c r="C93" s="47" t="s">
        <v>20</v>
      </c>
      <c r="D93" s="48">
        <v>31285</v>
      </c>
      <c r="E93" s="48">
        <v>33987</v>
      </c>
      <c r="F93" s="23">
        <f>11.1426</f>
        <v>11.1426</v>
      </c>
      <c r="G93" s="23">
        <f>38313.29246</f>
        <v>38313.292459999997</v>
      </c>
      <c r="H93" s="23">
        <f>E93-G93</f>
        <v>-4326.2924599999969</v>
      </c>
      <c r="I93" s="23">
        <f>34534.11702</f>
        <v>34534.117019999998</v>
      </c>
      <c r="J93" s="242"/>
    </row>
    <row r="94" spans="1:10" ht="14.15" customHeight="1" x14ac:dyDescent="0.3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498.68994</f>
        <v>498.68993999999998</v>
      </c>
      <c r="H94" s="52">
        <f>E94-G94</f>
        <v>313.31006000000002</v>
      </c>
      <c r="I94" s="52">
        <f>649.52867</f>
        <v>649.52867000000003</v>
      </c>
      <c r="J94" s="242"/>
    </row>
    <row r="95" spans="1:10" ht="15.75" customHeight="1" x14ac:dyDescent="0.3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467.75398000000001</v>
      </c>
      <c r="G95" s="11">
        <f t="shared" si="6"/>
        <v>22488.105439999999</v>
      </c>
      <c r="H95" s="11">
        <f t="shared" si="6"/>
        <v>37011.894560000001</v>
      </c>
      <c r="I95" s="11">
        <f t="shared" si="6"/>
        <v>27216.005689999995</v>
      </c>
      <c r="J95" s="242"/>
    </row>
    <row r="96" spans="1:10" ht="14.15" customHeight="1" x14ac:dyDescent="0.3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375.77827000000002</v>
      </c>
      <c r="G96" s="134">
        <f t="shared" si="7"/>
        <v>16086.839090000001</v>
      </c>
      <c r="H96" s="134">
        <f t="shared" si="7"/>
        <v>28404.160910000002</v>
      </c>
      <c r="I96" s="134">
        <f t="shared" si="7"/>
        <v>21480.358699999997</v>
      </c>
      <c r="J96" s="242"/>
    </row>
    <row r="97" spans="1:10" ht="14.15" customHeight="1" x14ac:dyDescent="0.35">
      <c r="A97" s="199"/>
      <c r="B97" s="184"/>
      <c r="C97" s="64" t="s">
        <v>24</v>
      </c>
      <c r="D97" s="65">
        <v>10751</v>
      </c>
      <c r="E97" s="65">
        <v>11883.7</v>
      </c>
      <c r="F97" s="129">
        <f>20.32936</f>
        <v>20.329360000000001</v>
      </c>
      <c r="G97" s="129">
        <f>2418.14474</f>
        <v>2418.1447400000002</v>
      </c>
      <c r="H97" s="129">
        <f t="shared" ref="H97:H104" si="8">E97-G97</f>
        <v>9465.555260000001</v>
      </c>
      <c r="I97" s="129">
        <f>2546.19487</f>
        <v>2546.1948699999998</v>
      </c>
      <c r="J97" s="242"/>
    </row>
    <row r="98" spans="1:10" ht="14.15" customHeight="1" x14ac:dyDescent="0.35">
      <c r="A98" s="199"/>
      <c r="B98" s="184"/>
      <c r="C98" s="64" t="s">
        <v>52</v>
      </c>
      <c r="D98" s="65">
        <v>11448</v>
      </c>
      <c r="E98" s="65">
        <v>12665.1</v>
      </c>
      <c r="F98" s="129">
        <f>145.7405</f>
        <v>145.7405</v>
      </c>
      <c r="G98" s="129">
        <f>5107.93994</f>
        <v>5107.9399400000002</v>
      </c>
      <c r="H98" s="129">
        <f t="shared" si="8"/>
        <v>7557.1600600000002</v>
      </c>
      <c r="I98" s="129">
        <f>7278.98343</f>
        <v>7278.9834300000002</v>
      </c>
      <c r="J98" s="242"/>
    </row>
    <row r="99" spans="1:10" ht="14.15" customHeight="1" x14ac:dyDescent="0.35">
      <c r="A99" s="199"/>
      <c r="B99" s="184"/>
      <c r="C99" s="64" t="s">
        <v>53</v>
      </c>
      <c r="D99" s="65">
        <v>10830</v>
      </c>
      <c r="E99" s="65">
        <v>11965.6</v>
      </c>
      <c r="F99" s="129">
        <f>127.25317</f>
        <v>127.25317</v>
      </c>
      <c r="G99" s="129">
        <f>4472.26604</f>
        <v>4472.2660400000004</v>
      </c>
      <c r="H99" s="129">
        <f t="shared" si="8"/>
        <v>7493.3339599999999</v>
      </c>
      <c r="I99" s="129">
        <f>6037.30878</f>
        <v>6037.3087800000003</v>
      </c>
      <c r="J99" s="242"/>
    </row>
    <row r="100" spans="1:10" ht="14.15" customHeight="1" x14ac:dyDescent="0.35">
      <c r="A100" s="199"/>
      <c r="B100" s="184"/>
      <c r="C100" s="64" t="s">
        <v>27</v>
      </c>
      <c r="D100" s="65">
        <v>7233</v>
      </c>
      <c r="E100" s="65">
        <v>7976.6</v>
      </c>
      <c r="F100" s="129">
        <f>82.45524</f>
        <v>82.455240000000003</v>
      </c>
      <c r="G100" s="129">
        <f>4088.48837</f>
        <v>4088.48837</v>
      </c>
      <c r="H100" s="129">
        <f t="shared" si="8"/>
        <v>3888.1116300000003</v>
      </c>
      <c r="I100" s="129">
        <f>5617.87162</f>
        <v>5617.8716199999999</v>
      </c>
      <c r="J100" s="242"/>
    </row>
    <row r="101" spans="1:10" ht="14.15" customHeight="1" x14ac:dyDescent="0.35">
      <c r="A101" s="199"/>
      <c r="B101" s="184"/>
      <c r="C101" s="59" t="s">
        <v>54</v>
      </c>
      <c r="D101" s="60">
        <v>9408</v>
      </c>
      <c r="E101" s="60">
        <v>10391</v>
      </c>
      <c r="F101" s="134">
        <f>72.94156</f>
        <v>72.941559999999996</v>
      </c>
      <c r="G101" s="134">
        <f>5164.33212</f>
        <v>5164.33212</v>
      </c>
      <c r="H101" s="134">
        <f t="shared" si="8"/>
        <v>5226.66788</v>
      </c>
      <c r="I101" s="134">
        <f>4721.80146</f>
        <v>4721.8014599999997</v>
      </c>
      <c r="J101" s="242"/>
    </row>
    <row r="102" spans="1:10" ht="15.75" customHeight="1" x14ac:dyDescent="0.35">
      <c r="A102" s="1"/>
      <c r="B102" s="55"/>
      <c r="C102" s="38" t="s">
        <v>11</v>
      </c>
      <c r="D102" s="63">
        <v>4181</v>
      </c>
      <c r="E102" s="63">
        <v>4618</v>
      </c>
      <c r="F102" s="77">
        <f>19.03415</f>
        <v>19.03415</v>
      </c>
      <c r="G102" s="77">
        <f>1236.93423</f>
        <v>1236.9342300000001</v>
      </c>
      <c r="H102" s="77">
        <f t="shared" si="8"/>
        <v>3381.0657700000002</v>
      </c>
      <c r="I102" s="77">
        <f>1013.84553</f>
        <v>1013.8455300000001</v>
      </c>
      <c r="J102" s="242"/>
    </row>
    <row r="103" spans="1:10" ht="15.75" customHeight="1" x14ac:dyDescent="0.3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35">
      <c r="A104" s="1"/>
      <c r="B104" s="252"/>
      <c r="C104" s="75" t="s">
        <v>55</v>
      </c>
      <c r="D104" s="145">
        <v>300</v>
      </c>
      <c r="E104" s="145">
        <v>300</v>
      </c>
      <c r="F104" s="141">
        <f>1.9307</f>
        <v>1.9307000000000001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3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3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3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480.82728000000003</v>
      </c>
      <c r="G107" s="78">
        <f t="shared" si="9"/>
        <v>61620.104309999981</v>
      </c>
      <c r="H107" s="78">
        <f t="shared" si="9"/>
        <v>33348.895690000019</v>
      </c>
      <c r="I107" s="78">
        <f t="shared" si="9"/>
        <v>62765.380989999998</v>
      </c>
      <c r="J107" s="242"/>
    </row>
    <row r="108" spans="1:10" ht="13.5" customHeight="1" x14ac:dyDescent="0.3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35">
      <c r="A109" s="1"/>
      <c r="B109" s="24"/>
      <c r="C109" s="163" t="s">
        <v>148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3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3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3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3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3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49999999999999" customHeight="1" x14ac:dyDescent="0.3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3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5" customHeight="1" x14ac:dyDescent="0.3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3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5" customHeight="1" x14ac:dyDescent="0.3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5" customHeight="1" x14ac:dyDescent="0.3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5" customHeight="1" x14ac:dyDescent="0.3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5" customHeight="1" x14ac:dyDescent="0.3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3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3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3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3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5" customHeight="1" x14ac:dyDescent="0.3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345.62970000000001</v>
      </c>
      <c r="G128" s="11">
        <f t="shared" si="10"/>
        <v>39223.68305</v>
      </c>
      <c r="H128" s="11">
        <f t="shared" si="10"/>
        <v>31317.316950000004</v>
      </c>
      <c r="I128" s="11">
        <f t="shared" si="10"/>
        <v>37540.852310000002</v>
      </c>
      <c r="J128" s="242"/>
    </row>
    <row r="129" spans="1:10" ht="14.15" customHeight="1" x14ac:dyDescent="0.35">
      <c r="A129" s="1"/>
      <c r="B129" s="252"/>
      <c r="C129" s="47" t="s">
        <v>20</v>
      </c>
      <c r="D129" s="48">
        <v>61702</v>
      </c>
      <c r="E129" s="48">
        <v>56092</v>
      </c>
      <c r="F129" s="23">
        <f>345.6297</f>
        <v>345.62970000000001</v>
      </c>
      <c r="G129" s="23">
        <f>34674.01467</f>
        <v>34674.014669999997</v>
      </c>
      <c r="H129" s="23">
        <f>E129-G129</f>
        <v>21417.985330000003</v>
      </c>
      <c r="I129" s="23">
        <f>31731.34245</f>
        <v>31731.34245</v>
      </c>
      <c r="J129" s="242"/>
    </row>
    <row r="130" spans="1:10" ht="15" customHeight="1" x14ac:dyDescent="0.3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4549.66838</f>
        <v>4549.6683800000001</v>
      </c>
      <c r="H130" s="23">
        <f>E130-G130</f>
        <v>9399.3316200000008</v>
      </c>
      <c r="I130" s="23">
        <f>5809.50986</f>
        <v>5809.5098600000001</v>
      </c>
      <c r="J130" s="242"/>
    </row>
    <row r="131" spans="1:10" ht="13.5" customHeight="1" x14ac:dyDescent="0.3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35">
      <c r="A132" s="70"/>
      <c r="B132" s="81"/>
      <c r="C132" s="91" t="s">
        <v>65</v>
      </c>
      <c r="D132" s="93">
        <v>52113</v>
      </c>
      <c r="E132" s="93">
        <v>49172</v>
      </c>
      <c r="F132" s="97">
        <f>2121.5915</f>
        <v>2121.5915</v>
      </c>
      <c r="G132" s="97">
        <f>27420.52359+2426.83953</f>
        <v>29847.363120000002</v>
      </c>
      <c r="H132" s="97">
        <f>E132-G132</f>
        <v>19324.636879999998</v>
      </c>
      <c r="I132" s="97">
        <f>27264.69748</f>
        <v>27264.697479999999</v>
      </c>
      <c r="J132" s="118"/>
    </row>
    <row r="133" spans="1:10" ht="15.75" customHeight="1" x14ac:dyDescent="0.3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981.39234999999996</v>
      </c>
      <c r="G133" s="96">
        <f t="shared" ref="G133" si="11">G134+G139+G142</f>
        <v>46483.847909999997</v>
      </c>
      <c r="H133" s="96">
        <f>H134+H139+H142</f>
        <v>34456.152089999996</v>
      </c>
      <c r="I133" s="96">
        <f>I134+I139+I142</f>
        <v>44907.044010000005</v>
      </c>
      <c r="J133" s="122"/>
    </row>
    <row r="134" spans="1:10" ht="14.15" customHeight="1" x14ac:dyDescent="0.3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873.31308000000001</v>
      </c>
      <c r="G134" s="127">
        <f>G135+G136+G138+G137</f>
        <v>36041.940059999994</v>
      </c>
      <c r="H134" s="127">
        <f>H135+H136+H137+H138</f>
        <v>23462.059939999999</v>
      </c>
      <c r="I134" s="127">
        <f>I135+I136+I137+I138</f>
        <v>35012.174070000001</v>
      </c>
      <c r="J134" s="278"/>
    </row>
    <row r="135" spans="1:10" ht="14.15" customHeight="1" x14ac:dyDescent="0.35">
      <c r="A135" s="199"/>
      <c r="B135" s="128"/>
      <c r="C135" s="64" t="s">
        <v>24</v>
      </c>
      <c r="D135" s="65">
        <v>16169</v>
      </c>
      <c r="E135" s="65">
        <v>17504</v>
      </c>
      <c r="F135" s="129">
        <f>68.83889</f>
        <v>68.838890000000006</v>
      </c>
      <c r="G135" s="129">
        <v>6110.9955300000001</v>
      </c>
      <c r="H135" s="129">
        <f>E135-G135</f>
        <v>11393.00447</v>
      </c>
      <c r="I135" s="129">
        <f>5119.32554</f>
        <v>5119.3255399999998</v>
      </c>
      <c r="J135" s="130"/>
    </row>
    <row r="136" spans="1:10" ht="14.15" customHeight="1" x14ac:dyDescent="0.35">
      <c r="A136" s="199"/>
      <c r="B136" s="184"/>
      <c r="C136" s="64" t="s">
        <v>52</v>
      </c>
      <c r="D136" s="65">
        <v>16559</v>
      </c>
      <c r="E136" s="65">
        <v>15084</v>
      </c>
      <c r="F136" s="129">
        <f>129.96803</f>
        <v>129.96803</v>
      </c>
      <c r="G136" s="129">
        <v>10345.44895</v>
      </c>
      <c r="H136" s="129">
        <f>E136-G136</f>
        <v>4738.55105</v>
      </c>
      <c r="I136" s="129">
        <f>8287.84487</f>
        <v>8287.8448700000008</v>
      </c>
      <c r="J136" s="131"/>
    </row>
    <row r="137" spans="1:10" ht="14.15" customHeight="1" x14ac:dyDescent="0.35">
      <c r="A137" s="199"/>
      <c r="B137" s="184"/>
      <c r="C137" s="64" t="s">
        <v>53</v>
      </c>
      <c r="D137" s="65">
        <v>15131</v>
      </c>
      <c r="E137" s="65">
        <v>15023</v>
      </c>
      <c r="F137" s="129">
        <f>449.88904</f>
        <v>449.88904000000002</v>
      </c>
      <c r="G137" s="129">
        <v>10312.564920000001</v>
      </c>
      <c r="H137" s="129">
        <f>E137-G137</f>
        <v>4710.4350799999993</v>
      </c>
      <c r="I137" s="129">
        <f>10931.64544</f>
        <v>10931.64544</v>
      </c>
      <c r="J137" s="131"/>
    </row>
    <row r="138" spans="1:10" ht="14.15" customHeight="1" x14ac:dyDescent="0.35">
      <c r="A138" s="199"/>
      <c r="B138" s="184"/>
      <c r="C138" s="64" t="s">
        <v>27</v>
      </c>
      <c r="D138" s="65">
        <v>13057</v>
      </c>
      <c r="E138" s="65">
        <v>11893</v>
      </c>
      <c r="F138" s="129">
        <f>224.61712</f>
        <v>224.61712</v>
      </c>
      <c r="G138" s="129">
        <v>9272.93066</v>
      </c>
      <c r="H138" s="129">
        <f>E138-G138</f>
        <v>2620.06934</v>
      </c>
      <c r="I138" s="129">
        <f>10673.35822</f>
        <v>10673.35822</v>
      </c>
      <c r="J138" s="131"/>
    </row>
    <row r="139" spans="1:10" ht="14.15" customHeight="1" x14ac:dyDescent="0.3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7.5856499999999993</v>
      </c>
      <c r="G139" s="134">
        <f>SUM(G140:G141)</f>
        <v>6386.3793900000001</v>
      </c>
      <c r="H139" s="134">
        <f>H140+H141</f>
        <v>3045.6206099999999</v>
      </c>
      <c r="I139" s="134">
        <f>SUM(I140:I141)</f>
        <v>5926.0810600000004</v>
      </c>
      <c r="J139" s="136"/>
    </row>
    <row r="140" spans="1:10" ht="14.15" customHeight="1" x14ac:dyDescent="0.35">
      <c r="A140" s="1"/>
      <c r="B140" s="252"/>
      <c r="C140" s="64" t="s">
        <v>67</v>
      </c>
      <c r="D140" s="65">
        <v>8213</v>
      </c>
      <c r="E140" s="65">
        <v>8932</v>
      </c>
      <c r="F140" s="129">
        <f>2.0844</f>
        <v>2.0844</v>
      </c>
      <c r="G140" s="129">
        <f>6236.86016999999</f>
        <v>6236.8601699999999</v>
      </c>
      <c r="H140" s="129">
        <f t="shared" ref="H140:H147" si="12">E140-G140</f>
        <v>2695.1398300000001</v>
      </c>
      <c r="I140" s="129">
        <f>5801.01932</f>
        <v>5801.0193200000003</v>
      </c>
      <c r="J140" s="122"/>
    </row>
    <row r="141" spans="1:10" ht="15" customHeight="1" x14ac:dyDescent="0.35">
      <c r="A141" s="1"/>
      <c r="B141" s="55"/>
      <c r="C141" s="64" t="s">
        <v>68</v>
      </c>
      <c r="D141" s="65">
        <v>500</v>
      </c>
      <c r="E141" s="65">
        <v>500</v>
      </c>
      <c r="F141" s="129">
        <f>5.50125</f>
        <v>5.5012499999999998</v>
      </c>
      <c r="G141" s="129">
        <f>149.51922</f>
        <v>149.51921999999999</v>
      </c>
      <c r="H141" s="129">
        <f t="shared" si="12"/>
        <v>350.48077999999998</v>
      </c>
      <c r="I141" s="129">
        <f>125.06174</f>
        <v>125.06174</v>
      </c>
      <c r="J141" s="137"/>
    </row>
    <row r="142" spans="1:10" ht="15.75" customHeight="1" x14ac:dyDescent="0.35">
      <c r="A142" s="1"/>
      <c r="B142" s="252"/>
      <c r="C142" s="38" t="s">
        <v>11</v>
      </c>
      <c r="D142" s="63">
        <v>11090</v>
      </c>
      <c r="E142" s="63">
        <v>12004</v>
      </c>
      <c r="F142" s="77">
        <f>100.49362</f>
        <v>100.49362000000001</v>
      </c>
      <c r="G142" s="77">
        <f>4055.52846</f>
        <v>4055.52846</v>
      </c>
      <c r="H142" s="77">
        <f t="shared" si="12"/>
        <v>7948.4715400000005</v>
      </c>
      <c r="I142" s="77">
        <f>3968.78888</f>
        <v>3968.7888800000001</v>
      </c>
      <c r="J142" s="122"/>
    </row>
    <row r="143" spans="1:10" ht="15.75" customHeight="1" x14ac:dyDescent="0.3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3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306.976</f>
        <v>306.976</v>
      </c>
      <c r="J144" s="122"/>
    </row>
    <row r="145" spans="1:10" ht="18" customHeight="1" x14ac:dyDescent="0.35">
      <c r="A145" s="1"/>
      <c r="B145" s="252"/>
      <c r="C145" s="142" t="s">
        <v>70</v>
      </c>
      <c r="D145" s="145">
        <v>2000</v>
      </c>
      <c r="E145" s="145">
        <v>2000</v>
      </c>
      <c r="F145" s="141">
        <f>34.45577</f>
        <v>34.455770000000001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3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3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3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3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3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3483.0693200000001</v>
      </c>
      <c r="G150" s="78">
        <f>G128+G132+G133+G143+G144+G145+G146+G147+G148</f>
        <v>117847.83608000001</v>
      </c>
      <c r="H150" s="78">
        <f>H128+H132+H133+H143+H144+H145+H146+H147+H148</f>
        <v>85387.163919999992</v>
      </c>
      <c r="I150" s="78">
        <f>I128+I132+I133+I143+I144+I145+I146+I147+I148</f>
        <v>112041.12032</v>
      </c>
      <c r="J150" s="162"/>
    </row>
    <row r="151" spans="1:10" ht="14.25" customHeight="1" x14ac:dyDescent="0.3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3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3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35">
      <c r="A154" s="159"/>
      <c r="B154" s="54"/>
      <c r="C154" s="80" t="s">
        <v>145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3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3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3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3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3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3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3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3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5" customHeight="1" x14ac:dyDescent="0.3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5" customHeight="1" x14ac:dyDescent="0.3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5" customHeight="1" x14ac:dyDescent="0.3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5" customHeight="1" x14ac:dyDescent="0.3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5" customHeight="1" x14ac:dyDescent="0.3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5" customHeight="1" x14ac:dyDescent="0.3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3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3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3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3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5" customHeight="1" x14ac:dyDescent="0.35">
      <c r="A175" s="1"/>
      <c r="B175" s="252"/>
      <c r="C175" s="143" t="s">
        <v>76</v>
      </c>
      <c r="D175" s="96">
        <v>4988</v>
      </c>
      <c r="E175" s="274">
        <f>35.80371</f>
        <v>35.803710000000002</v>
      </c>
      <c r="F175" s="274">
        <f>1030.55516</f>
        <v>1030.5551599999999</v>
      </c>
      <c r="G175" s="45">
        <f>D175-F175-F176</f>
        <v>2750.6742300000001</v>
      </c>
      <c r="H175" s="274">
        <f>685.74596</f>
        <v>685.74595999999997</v>
      </c>
      <c r="I175" s="1"/>
      <c r="J175" s="122"/>
    </row>
    <row r="176" spans="1:10" ht="14.15" customHeight="1" x14ac:dyDescent="0.35">
      <c r="A176" s="1"/>
      <c r="B176" s="252"/>
      <c r="C176" s="139" t="s">
        <v>54</v>
      </c>
      <c r="D176" s="183"/>
      <c r="E176" s="154">
        <f>116.60216</f>
        <v>116.60216</v>
      </c>
      <c r="F176" s="154">
        <f>1206.77061</f>
        <v>1206.77061</v>
      </c>
      <c r="G176" s="215"/>
      <c r="H176" s="154">
        <f>1140.87262</f>
        <v>1140.8726200000001</v>
      </c>
      <c r="I176" s="1"/>
      <c r="J176" s="122"/>
    </row>
    <row r="177" spans="1:10" ht="15.65" customHeight="1" x14ac:dyDescent="0.3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55.41002</f>
        <v>55.410020000000003</v>
      </c>
      <c r="G177" s="174">
        <f>D177-F177</f>
        <v>144.58998</v>
      </c>
      <c r="H177" s="174">
        <f>48.9886</f>
        <v>48.988599999999998</v>
      </c>
      <c r="I177" s="1"/>
      <c r="J177" s="122"/>
    </row>
    <row r="178" spans="1:10" ht="14.15" customHeight="1" x14ac:dyDescent="0.35">
      <c r="A178" s="70"/>
      <c r="B178" s="81"/>
      <c r="C178" s="182" t="s">
        <v>78</v>
      </c>
      <c r="D178" s="183">
        <v>7481</v>
      </c>
      <c r="E178" s="183">
        <f>E179+E180+E181</f>
        <v>1.7560199999999999</v>
      </c>
      <c r="F178" s="183">
        <f>F179+F180+F181</f>
        <v>4839.9945099999995</v>
      </c>
      <c r="G178" s="183">
        <f>D178-F178</f>
        <v>2641.0054900000005</v>
      </c>
      <c r="H178" s="183">
        <f>H179+H180+H181</f>
        <v>5070.1567599999998</v>
      </c>
      <c r="I178" s="70"/>
      <c r="J178" s="118"/>
    </row>
    <row r="179" spans="1:10" ht="14.15" customHeight="1" x14ac:dyDescent="0.35">
      <c r="A179" s="199"/>
      <c r="B179" s="184"/>
      <c r="C179" s="185" t="s">
        <v>79</v>
      </c>
      <c r="D179" s="129"/>
      <c r="E179" s="129">
        <f>0.05698</f>
        <v>5.6980000000000003E-2</v>
      </c>
      <c r="F179" s="129">
        <f>2242.02521</f>
        <v>2242.0252099999998</v>
      </c>
      <c r="G179" s="129"/>
      <c r="H179" s="129">
        <f>2556.3965</f>
        <v>2556.3964999999998</v>
      </c>
      <c r="I179" s="188"/>
      <c r="J179" s="131"/>
    </row>
    <row r="180" spans="1:10" ht="14.15" customHeight="1" x14ac:dyDescent="0.35">
      <c r="A180" s="199"/>
      <c r="B180" s="184"/>
      <c r="C180" s="185" t="s">
        <v>80</v>
      </c>
      <c r="D180" s="129"/>
      <c r="E180" s="129">
        <f>1.26112</f>
        <v>1.26112</v>
      </c>
      <c r="F180" s="129">
        <f>1586.1706</f>
        <v>1586.1705999999999</v>
      </c>
      <c r="G180" s="129"/>
      <c r="H180" s="129">
        <f>1537.07371</f>
        <v>1537.0737099999999</v>
      </c>
      <c r="I180" s="188"/>
      <c r="J180" s="189"/>
    </row>
    <row r="181" spans="1:10" ht="14.15" customHeight="1" x14ac:dyDescent="0.35">
      <c r="A181" s="199"/>
      <c r="B181" s="184"/>
      <c r="C181" s="191" t="s">
        <v>81</v>
      </c>
      <c r="D181" s="194"/>
      <c r="E181" s="194">
        <f>0.43792</f>
        <v>0.43791999999999998</v>
      </c>
      <c r="F181" s="194">
        <f>1011.7987</f>
        <v>1011.7987000000001</v>
      </c>
      <c r="G181" s="194"/>
      <c r="H181" s="194">
        <f>976.68655</f>
        <v>976.68655000000001</v>
      </c>
      <c r="I181" s="188"/>
      <c r="J181" s="189"/>
    </row>
    <row r="182" spans="1:10" ht="14.15" customHeight="1" x14ac:dyDescent="0.3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3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99999999999999" customHeight="1" x14ac:dyDescent="0.3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154.16189</v>
      </c>
      <c r="F184" s="196">
        <f>F175+F176+F177+F178+F182+F183</f>
        <v>7132.7302999999993</v>
      </c>
      <c r="G184" s="196">
        <f>D184-F184</f>
        <v>5602.2697000000007</v>
      </c>
      <c r="H184" s="196">
        <f>H175+H176+H177+H178+H182+H183</f>
        <v>6945.7639399999998</v>
      </c>
      <c r="I184" s="165"/>
      <c r="J184" s="162"/>
    </row>
    <row r="185" spans="1:10" ht="42" customHeight="1" x14ac:dyDescent="0.3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3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3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3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3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3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3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3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3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3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3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3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3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3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3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3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3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35">
      <c r="A204" s="1"/>
      <c r="B204" s="252"/>
      <c r="C204" s="90" t="s">
        <v>4</v>
      </c>
      <c r="D204" s="124">
        <v>43839</v>
      </c>
      <c r="E204" s="124">
        <f>124.69457</f>
        <v>124.69457</v>
      </c>
      <c r="F204" s="124">
        <f>37459.3108</f>
        <v>37459.310799999999</v>
      </c>
      <c r="G204" s="124">
        <f>D204-F204</f>
        <v>6379.6892000000007</v>
      </c>
      <c r="H204" s="124">
        <f>26580.76702</f>
        <v>26580.767019999999</v>
      </c>
      <c r="I204" s="246"/>
      <c r="J204" s="122"/>
    </row>
    <row r="205" spans="1:10" ht="15" customHeight="1" x14ac:dyDescent="0.35">
      <c r="A205" s="1"/>
      <c r="B205" s="252"/>
      <c r="C205" s="90" t="s">
        <v>68</v>
      </c>
      <c r="D205" s="124">
        <v>100</v>
      </c>
      <c r="E205" s="124">
        <f>0.3425</f>
        <v>0.34250000000000003</v>
      </c>
      <c r="F205" s="124">
        <f>18.07525</f>
        <v>18.07525</v>
      </c>
      <c r="G205" s="124">
        <f>D205-F205</f>
        <v>81.924750000000003</v>
      </c>
      <c r="H205" s="124">
        <f>24.36681</f>
        <v>24.366810000000001</v>
      </c>
      <c r="I205" s="246"/>
      <c r="J205" s="122"/>
    </row>
    <row r="206" spans="1:10" ht="15.75" customHeight="1" x14ac:dyDescent="0.3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35">
      <c r="A207" s="1"/>
      <c r="B207" s="252"/>
      <c r="C207" s="179" t="s">
        <v>88</v>
      </c>
      <c r="D207" s="190">
        <f>SUM(D204:D206)</f>
        <v>43981</v>
      </c>
      <c r="E207" s="190">
        <f>SUM(E204:E206)</f>
        <v>125.03707</v>
      </c>
      <c r="F207" s="190">
        <f>SUM(F204:F206)</f>
        <v>37477.386050000001</v>
      </c>
      <c r="G207" s="190">
        <f>D207-F207</f>
        <v>6503.613949999999</v>
      </c>
      <c r="H207" s="190">
        <f>SUM(H204:H206)</f>
        <v>26605.133829999999</v>
      </c>
      <c r="I207" s="246"/>
      <c r="J207" s="122"/>
    </row>
    <row r="208" spans="1:10" ht="17.149999999999999" customHeight="1" x14ac:dyDescent="0.3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5">
      <c r="A243" s="152"/>
      <c r="B243" s="1"/>
      <c r="C243" s="213" t="s">
        <v>138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3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3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3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35">
      <c r="A248" s="1"/>
      <c r="B248" s="252"/>
      <c r="C248" s="68" t="s">
        <v>16</v>
      </c>
      <c r="D248" s="79" t="s">
        <v>2</v>
      </c>
      <c r="E248" s="68" t="s">
        <v>140</v>
      </c>
      <c r="F248" s="68" t="s">
        <v>141</v>
      </c>
      <c r="G248" s="68" t="s">
        <v>142</v>
      </c>
      <c r="H248" s="68" t="s">
        <v>143</v>
      </c>
      <c r="I248" s="1"/>
      <c r="J248" s="122"/>
    </row>
    <row r="249" spans="1:10" ht="15" customHeight="1" x14ac:dyDescent="0.35">
      <c r="A249" s="1"/>
      <c r="B249" s="252"/>
      <c r="C249" s="90" t="s">
        <v>8</v>
      </c>
      <c r="D249" s="124"/>
      <c r="E249" s="77">
        <f>0</f>
        <v>0</v>
      </c>
      <c r="F249" s="77">
        <f>198.31024</f>
        <v>198.31023999999999</v>
      </c>
      <c r="G249" s="77"/>
      <c r="H249" s="77">
        <f>208.6212</f>
        <v>208.62119999999999</v>
      </c>
      <c r="I249" s="246"/>
      <c r="J249" s="122"/>
    </row>
    <row r="250" spans="1:10" ht="15" customHeight="1" x14ac:dyDescent="0.35">
      <c r="A250" s="1"/>
      <c r="B250" s="252"/>
      <c r="C250" s="90" t="s">
        <v>11</v>
      </c>
      <c r="D250" s="124"/>
      <c r="E250" s="77">
        <f>37.00144</f>
        <v>37.001440000000002</v>
      </c>
      <c r="F250" s="77">
        <f>4465.52767</f>
        <v>4465.5276700000004</v>
      </c>
      <c r="G250" s="77"/>
      <c r="H250" s="77">
        <f>3864.08493</f>
        <v>3864.08493</v>
      </c>
      <c r="I250" s="246"/>
      <c r="J250" s="122"/>
    </row>
    <row r="251" spans="1:10" ht="15.75" customHeight="1" x14ac:dyDescent="0.35">
      <c r="A251" s="1"/>
      <c r="B251" s="252"/>
      <c r="C251" s="146" t="s">
        <v>68</v>
      </c>
      <c r="D251" s="168"/>
      <c r="E251" s="124">
        <f>87.59708</f>
        <v>87.597080000000005</v>
      </c>
      <c r="F251" s="124">
        <f>2048.88912</f>
        <v>2048.8891199999998</v>
      </c>
      <c r="G251" s="168"/>
      <c r="H251" s="124">
        <f>1149.90486</f>
        <v>1149.9048600000001</v>
      </c>
      <c r="I251" s="246"/>
      <c r="J251" s="122"/>
    </row>
    <row r="252" spans="1:10" ht="16.5" customHeight="1" x14ac:dyDescent="0.35">
      <c r="A252" s="1"/>
      <c r="B252" s="252"/>
      <c r="C252" s="179" t="s">
        <v>88</v>
      </c>
      <c r="D252" s="190">
        <v>10454</v>
      </c>
      <c r="E252" s="190">
        <f>SUM(E249:E251)</f>
        <v>124.59852000000001</v>
      </c>
      <c r="F252" s="190">
        <f>SUM(F249:F251)</f>
        <v>6712.72703</v>
      </c>
      <c r="G252" s="190">
        <f>D252-F252</f>
        <v>3741.27297</v>
      </c>
      <c r="H252" s="190">
        <f>SUM(H249:H251)</f>
        <v>5222.6109900000001</v>
      </c>
      <c r="I252" s="246"/>
      <c r="J252" s="122"/>
    </row>
    <row r="253" spans="1:10" ht="17.149999999999999" customHeight="1" x14ac:dyDescent="0.3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5">
      <c r="A288" s="152"/>
      <c r="B288" s="1"/>
      <c r="C288" s="213" t="s">
        <v>139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3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3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3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35">
      <c r="A293" s="1"/>
      <c r="B293" s="252"/>
      <c r="C293" s="68" t="s">
        <v>16</v>
      </c>
      <c r="D293" s="79" t="s">
        <v>2</v>
      </c>
      <c r="E293" s="68" t="s">
        <v>140</v>
      </c>
      <c r="F293" s="68" t="s">
        <v>141</v>
      </c>
      <c r="G293" s="68" t="s">
        <v>142</v>
      </c>
      <c r="H293" s="68" t="s">
        <v>143</v>
      </c>
      <c r="I293" s="1"/>
      <c r="J293" s="122"/>
    </row>
    <row r="294" spans="1:10" ht="15" customHeight="1" x14ac:dyDescent="0.35">
      <c r="A294" s="1"/>
      <c r="B294" s="252"/>
      <c r="C294" s="90" t="s">
        <v>8</v>
      </c>
      <c r="D294" s="124"/>
      <c r="E294" s="77">
        <f>0</f>
        <v>0</v>
      </c>
      <c r="F294" s="77">
        <f>212.5564</f>
        <v>212.5564</v>
      </c>
      <c r="G294" s="77"/>
      <c r="H294" s="77">
        <f>334.5048</f>
        <v>334.50479999999999</v>
      </c>
      <c r="I294" s="246"/>
      <c r="J294" s="122"/>
    </row>
    <row r="295" spans="1:10" ht="15" customHeight="1" x14ac:dyDescent="0.35">
      <c r="A295" s="1"/>
      <c r="B295" s="252"/>
      <c r="C295" s="90" t="s">
        <v>11</v>
      </c>
      <c r="D295" s="124"/>
      <c r="E295" s="77">
        <f>51.71408</f>
        <v>51.714080000000003</v>
      </c>
      <c r="F295" s="77">
        <f>2327.23586</f>
        <v>2327.2358599999998</v>
      </c>
      <c r="G295" s="77"/>
      <c r="H295" s="77">
        <f>1645.52424</f>
        <v>1645.52424</v>
      </c>
      <c r="I295" s="246"/>
      <c r="J295" s="122"/>
    </row>
    <row r="296" spans="1:10" ht="15.75" customHeight="1" x14ac:dyDescent="0.35">
      <c r="A296" s="1"/>
      <c r="B296" s="252"/>
      <c r="C296" s="146" t="s">
        <v>68</v>
      </c>
      <c r="D296" s="168"/>
      <c r="E296" s="124">
        <f>210.73428</f>
        <v>210.73428000000001</v>
      </c>
      <c r="F296" s="124">
        <f>2659.02928</f>
        <v>2659.0292800000002</v>
      </c>
      <c r="G296" s="168"/>
      <c r="H296" s="124">
        <f>1470.57637</f>
        <v>1470.57637</v>
      </c>
      <c r="I296" s="246"/>
      <c r="J296" s="122"/>
    </row>
    <row r="297" spans="1:10" ht="16.5" customHeight="1" x14ac:dyDescent="0.35">
      <c r="A297" s="1"/>
      <c r="B297" s="252"/>
      <c r="C297" s="179" t="s">
        <v>88</v>
      </c>
      <c r="D297" s="190">
        <v>8076</v>
      </c>
      <c r="E297" s="190">
        <f>SUM(E294:E296)</f>
        <v>262.44836000000004</v>
      </c>
      <c r="F297" s="190">
        <f>SUM(F294:F296)</f>
        <v>5198.8215399999999</v>
      </c>
      <c r="G297" s="190">
        <f>D297-F297</f>
        <v>2877.1784600000001</v>
      </c>
      <c r="H297" s="190">
        <f>SUM(H294:H296)</f>
        <v>3450.6054100000001</v>
      </c>
      <c r="I297" s="246"/>
      <c r="J297" s="122"/>
    </row>
    <row r="298" spans="1:10" ht="17.149999999999999" customHeight="1" x14ac:dyDescent="0.3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49999999999999" customHeight="1" x14ac:dyDescent="0.3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3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3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5" customHeight="1" x14ac:dyDescent="0.3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5" customHeight="1" x14ac:dyDescent="0.3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5" customHeight="1" x14ac:dyDescent="0.3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5" customHeight="1" x14ac:dyDescent="0.3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5" customHeight="1" x14ac:dyDescent="0.3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3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3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5" customHeight="1" x14ac:dyDescent="0.3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3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3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3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5" customHeight="1" x14ac:dyDescent="0.3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35">
      <c r="A347" s="1"/>
      <c r="B347" s="252"/>
      <c r="C347" s="68" t="s">
        <v>16</v>
      </c>
      <c r="D347" s="241" t="s">
        <v>2</v>
      </c>
      <c r="E347" s="68" t="s">
        <v>140</v>
      </c>
      <c r="F347" s="68" t="s">
        <v>141</v>
      </c>
      <c r="G347" s="68" t="s">
        <v>142</v>
      </c>
      <c r="H347" s="68" t="s">
        <v>143</v>
      </c>
      <c r="I347" s="1"/>
      <c r="J347" s="118"/>
    </row>
    <row r="348" spans="1:10" ht="14.15" customHeight="1" x14ac:dyDescent="0.35">
      <c r="A348" s="70"/>
      <c r="B348" s="81"/>
      <c r="C348" s="90" t="s">
        <v>96</v>
      </c>
      <c r="D348" s="124">
        <v>800</v>
      </c>
      <c r="E348" s="124">
        <f>13.69679</f>
        <v>13.69679</v>
      </c>
      <c r="F348" s="124">
        <f>293.6479</f>
        <v>293.64789999999999</v>
      </c>
      <c r="G348" s="124">
        <f>D348-F348</f>
        <v>506.35210000000001</v>
      </c>
      <c r="H348" s="124">
        <f>186.95737</f>
        <v>186.95737</v>
      </c>
      <c r="I348" s="70"/>
      <c r="J348" s="242"/>
    </row>
    <row r="349" spans="1:10" ht="14.15" customHeight="1" x14ac:dyDescent="0.35">
      <c r="A349" s="1"/>
      <c r="B349" s="252"/>
      <c r="C349" s="90" t="s">
        <v>97</v>
      </c>
      <c r="D349" s="244">
        <v>2494</v>
      </c>
      <c r="E349" s="124">
        <f>107.70731</f>
        <v>107.70731000000001</v>
      </c>
      <c r="F349" s="124">
        <f>1125.53919</f>
        <v>1125.53919</v>
      </c>
      <c r="G349" s="124">
        <f>D349-F349</f>
        <v>1368.46081</v>
      </c>
      <c r="H349" s="124">
        <f>667.09981</f>
        <v>667.09981000000005</v>
      </c>
      <c r="I349" s="181"/>
      <c r="J349" s="118"/>
    </row>
    <row r="350" spans="1:10" ht="16.5" customHeight="1" x14ac:dyDescent="0.3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0.63874</f>
        <v>0.63873999999999997</v>
      </c>
      <c r="G350" s="124">
        <f>D350-F350</f>
        <v>4.3612599999999997</v>
      </c>
      <c r="H350" s="168">
        <f>0.9169</f>
        <v>0.91690000000000005</v>
      </c>
      <c r="I350" s="70"/>
      <c r="J350" s="247"/>
    </row>
    <row r="351" spans="1:10" ht="18.75" customHeight="1" x14ac:dyDescent="0.35">
      <c r="A351" s="70"/>
      <c r="B351" s="248"/>
      <c r="C351" s="146" t="s">
        <v>98</v>
      </c>
      <c r="D351" s="220"/>
      <c r="E351" s="168">
        <f>0</f>
        <v>0</v>
      </c>
      <c r="F351" s="168">
        <f>1.68235</f>
        <v>1.68235</v>
      </c>
      <c r="G351" s="124"/>
      <c r="H351" s="168">
        <f>3.12636</f>
        <v>3.12636</v>
      </c>
      <c r="I351" s="282"/>
      <c r="J351" s="122"/>
    </row>
    <row r="352" spans="1:10" ht="14.15" customHeight="1" x14ac:dyDescent="0.35">
      <c r="A352" s="1"/>
      <c r="B352" s="252"/>
      <c r="C352" s="179" t="s">
        <v>88</v>
      </c>
      <c r="D352" s="6">
        <f>D337</f>
        <v>3299</v>
      </c>
      <c r="E352" s="190">
        <f>SUM(E348:E351)</f>
        <v>121.4041</v>
      </c>
      <c r="F352" s="190">
        <f>SUM(F348:F351)</f>
        <v>1421.50818</v>
      </c>
      <c r="G352" s="190">
        <f>D352-F352</f>
        <v>1877.49182</v>
      </c>
      <c r="H352" s="190">
        <f>H348+H349+H350+H351</f>
        <v>858.10044000000005</v>
      </c>
      <c r="I352" s="1"/>
      <c r="J352" s="122"/>
    </row>
    <row r="353" spans="1:10" ht="14.15" customHeight="1" x14ac:dyDescent="0.3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5" customHeight="1" x14ac:dyDescent="0.3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5" customHeight="1" x14ac:dyDescent="0.35">
      <c r="A355" s="1"/>
      <c r="C355" s="152" t="s">
        <v>119</v>
      </c>
    </row>
    <row r="356" spans="1:10" ht="14.15" customHeight="1" x14ac:dyDescent="0.35">
      <c r="A356" s="1" t="s">
        <v>119</v>
      </c>
    </row>
    <row r="357" spans="1:10" ht="14.15" customHeight="1" x14ac:dyDescent="0.35">
      <c r="A357" s="1" t="s">
        <v>119</v>
      </c>
    </row>
    <row r="358" spans="1:10" ht="14.15" customHeight="1" x14ac:dyDescent="0.35">
      <c r="A358" s="1"/>
      <c r="C358" s="152" t="s">
        <v>119</v>
      </c>
    </row>
    <row r="359" spans="1:10" ht="36" customHeight="1" x14ac:dyDescent="0.35">
      <c r="A359" s="1"/>
      <c r="C359" s="152" t="s">
        <v>119</v>
      </c>
    </row>
    <row r="360" spans="1:10" ht="14.15" customHeight="1" x14ac:dyDescent="0.35">
      <c r="A360" s="1"/>
      <c r="C360" s="152" t="s">
        <v>119</v>
      </c>
    </row>
    <row r="361" spans="1:10" ht="14.15" customHeight="1" x14ac:dyDescent="0.35">
      <c r="A361" s="1"/>
      <c r="C361" s="152" t="s">
        <v>119</v>
      </c>
    </row>
    <row r="362" spans="1:10" ht="30" customHeight="1" x14ac:dyDescent="0.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49999999999999" customHeight="1" x14ac:dyDescent="0.3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3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3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3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3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3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5" customHeight="1" x14ac:dyDescent="0.3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5" customHeight="1" x14ac:dyDescent="0.3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4" customHeight="1" x14ac:dyDescent="0.3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4" customHeight="1" x14ac:dyDescent="0.3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3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3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3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3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35">
      <c r="B377" s="74"/>
      <c r="C377" s="221" t="s">
        <v>16</v>
      </c>
      <c r="D377" s="230" t="s">
        <v>17</v>
      </c>
      <c r="E377" s="68" t="s">
        <v>106</v>
      </c>
      <c r="F377" s="221" t="s">
        <v>140</v>
      </c>
      <c r="G377" s="221" t="s">
        <v>141</v>
      </c>
      <c r="H377" s="221" t="s">
        <v>142</v>
      </c>
      <c r="I377" s="221" t="s">
        <v>143</v>
      </c>
      <c r="J377" s="132"/>
    </row>
    <row r="378" spans="1:10" ht="14.15" customHeight="1" x14ac:dyDescent="0.3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192.74137999999999</v>
      </c>
      <c r="G378" s="251">
        <f t="shared" si="14"/>
        <v>5649.9898400000002</v>
      </c>
      <c r="H378" s="251">
        <f>H382+H381+H380+H379</f>
        <v>10452.01016</v>
      </c>
      <c r="I378" s="251">
        <f t="shared" si="14"/>
        <v>3296.36357</v>
      </c>
      <c r="J378" s="132"/>
    </row>
    <row r="379" spans="1:10" ht="14.15" customHeight="1" x14ac:dyDescent="0.3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2054.63477</f>
        <v>2054.6347700000001</v>
      </c>
      <c r="H379" s="255">
        <f t="shared" ref="H379:H383" si="15">E379-G379</f>
        <v>6122.3652299999994</v>
      </c>
      <c r="I379" s="255">
        <f>1355.29893</f>
        <v>1355.2989299999999</v>
      </c>
      <c r="J379" s="132"/>
    </row>
    <row r="380" spans="1:10" ht="14.15" customHeight="1" x14ac:dyDescent="0.3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806.0337</f>
        <v>806.03369999999995</v>
      </c>
      <c r="H380" s="255">
        <f t="shared" si="15"/>
        <v>1321.9663</v>
      </c>
      <c r="I380" s="255">
        <f>490.4118</f>
        <v>490.41180000000003</v>
      </c>
      <c r="J380" s="132"/>
    </row>
    <row r="381" spans="1:10" ht="14.15" customHeight="1" x14ac:dyDescent="0.35">
      <c r="A381" s="216"/>
      <c r="B381" s="74"/>
      <c r="C381" s="258" t="s">
        <v>103</v>
      </c>
      <c r="D381" s="254">
        <v>1313</v>
      </c>
      <c r="E381" s="254">
        <v>1357</v>
      </c>
      <c r="F381" s="255">
        <f>28.32258</f>
        <v>28.322579999999999</v>
      </c>
      <c r="G381" s="255">
        <f>1380.39927</f>
        <v>1380.3992699999999</v>
      </c>
      <c r="H381" s="255">
        <f t="shared" si="15"/>
        <v>-23.399269999999888</v>
      </c>
      <c r="I381" s="255">
        <f>989.51424</f>
        <v>989.51423999999997</v>
      </c>
      <c r="J381" s="132"/>
    </row>
    <row r="382" spans="1:10" ht="14.15" customHeight="1" x14ac:dyDescent="0.35">
      <c r="A382" s="216"/>
      <c r="B382" s="74"/>
      <c r="C382" s="260" t="s">
        <v>108</v>
      </c>
      <c r="D382" s="261">
        <v>4296</v>
      </c>
      <c r="E382" s="261">
        <v>4440</v>
      </c>
      <c r="F382" s="255">
        <f>164.4188</f>
        <v>164.4188</v>
      </c>
      <c r="G382" s="255">
        <f>1408.9221</f>
        <v>1408.9221</v>
      </c>
      <c r="H382" s="255">
        <f t="shared" si="15"/>
        <v>3031.0779000000002</v>
      </c>
      <c r="I382" s="255">
        <f>461.1386</f>
        <v>461.1386</v>
      </c>
      <c r="J382" s="132"/>
    </row>
    <row r="383" spans="1:10" ht="14.15" customHeight="1" x14ac:dyDescent="0.35">
      <c r="A383" s="216"/>
      <c r="B383" s="74"/>
      <c r="C383" s="263" t="s">
        <v>60</v>
      </c>
      <c r="D383" s="264">
        <v>5500</v>
      </c>
      <c r="E383" s="264">
        <v>5500</v>
      </c>
      <c r="F383" s="266">
        <f>178.54522</f>
        <v>178.54522</v>
      </c>
      <c r="G383" s="266">
        <f>5096.83428</f>
        <v>5096.83428</v>
      </c>
      <c r="H383" s="266">
        <f t="shared" si="15"/>
        <v>403.16571999999996</v>
      </c>
      <c r="I383" s="266">
        <f>4536.36268</f>
        <v>4536.3626800000002</v>
      </c>
      <c r="J383" s="132"/>
    </row>
    <row r="384" spans="1:10" ht="14.15" customHeight="1" x14ac:dyDescent="0.3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78.338080000000005</v>
      </c>
      <c r="G384" s="267">
        <f>G386+G385</f>
        <v>2199.3429700000002</v>
      </c>
      <c r="H384" s="267">
        <f>E384-G384</f>
        <v>5800.6570300000003</v>
      </c>
      <c r="I384" s="267">
        <f>I386+I385</f>
        <v>1841.3089600000001</v>
      </c>
      <c r="J384" s="132"/>
    </row>
    <row r="385" spans="1:10" ht="14.15" customHeight="1" x14ac:dyDescent="0.3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752.27754</f>
        <v>752.27754000000004</v>
      </c>
      <c r="H385" s="255"/>
      <c r="I385" s="255">
        <f>925.70914</f>
        <v>925.70914000000005</v>
      </c>
      <c r="J385" s="132"/>
    </row>
    <row r="386" spans="1:10" ht="14.15" customHeight="1" x14ac:dyDescent="0.35">
      <c r="A386" s="216"/>
      <c r="B386" s="74"/>
      <c r="C386" s="271" t="s">
        <v>109</v>
      </c>
      <c r="D386" s="272"/>
      <c r="E386" s="275"/>
      <c r="F386" s="276">
        <f>78.33808</f>
        <v>78.338080000000005</v>
      </c>
      <c r="G386" s="276">
        <f>1447.06543</f>
        <v>1447.0654300000001</v>
      </c>
      <c r="H386" s="276"/>
      <c r="I386" s="276">
        <f>915.59982</f>
        <v>915.59982000000002</v>
      </c>
      <c r="J386" s="132"/>
    </row>
    <row r="387" spans="1:10" ht="14.15" customHeight="1" x14ac:dyDescent="0.3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5" customHeight="1" x14ac:dyDescent="0.35">
      <c r="A388" s="216"/>
      <c r="B388" s="74"/>
      <c r="C388" s="277" t="s">
        <v>110</v>
      </c>
      <c r="D388" s="280"/>
      <c r="E388" s="281"/>
      <c r="F388" s="266">
        <f>5.9164</f>
        <v>5.9164000000000003</v>
      </c>
      <c r="G388" s="266">
        <f>46.50523</f>
        <v>46.505229999999997</v>
      </c>
      <c r="H388" s="266">
        <f>E388-G388</f>
        <v>-46.505229999999997</v>
      </c>
      <c r="I388" s="266">
        <f>95.22262</f>
        <v>95.222620000000006</v>
      </c>
      <c r="J388" s="132"/>
    </row>
    <row r="389" spans="1:10" ht="19.5" customHeight="1" x14ac:dyDescent="0.3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455.54108000000002</v>
      </c>
      <c r="G389" s="285">
        <f t="shared" si="16"/>
        <v>12992.745820000002</v>
      </c>
      <c r="H389" s="285">
        <f>H378+H383+H384+H387+H388</f>
        <v>16619.25418</v>
      </c>
      <c r="I389" s="285">
        <f t="shared" si="16"/>
        <v>9769.4171299999998</v>
      </c>
      <c r="J389" s="132"/>
    </row>
    <row r="390" spans="1:10" ht="14.15" customHeight="1" x14ac:dyDescent="0.3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5" customHeight="1" x14ac:dyDescent="0.3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5" customHeight="1" x14ac:dyDescent="0.3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3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3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3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5" customHeight="1" x14ac:dyDescent="0.35">
      <c r="A396" s="216"/>
      <c r="C396" s="152" t="s">
        <v>119</v>
      </c>
      <c r="D396" s="159"/>
    </row>
    <row r="397" spans="1:10" ht="14.15" customHeight="1" x14ac:dyDescent="0.3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5" customHeight="1" x14ac:dyDescent="0.3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5" customHeight="1" x14ac:dyDescent="0.3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5" customHeight="1" x14ac:dyDescent="0.3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5" customHeight="1" x14ac:dyDescent="0.35">
      <c r="A401" s="216"/>
      <c r="B401" s="74"/>
      <c r="C401" s="257" t="s">
        <v>85</v>
      </c>
      <c r="D401" s="268"/>
      <c r="E401" s="152"/>
      <c r="F401" s="152"/>
      <c r="G401" s="152"/>
      <c r="H401" s="152"/>
      <c r="I401" s="152"/>
      <c r="J401" s="132"/>
    </row>
    <row r="402" spans="1:10" ht="14.15" customHeight="1" x14ac:dyDescent="0.3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5" customHeight="1" x14ac:dyDescent="0.3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5" customHeight="1" x14ac:dyDescent="0.3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5" customHeight="1" x14ac:dyDescent="0.3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5" customHeight="1" x14ac:dyDescent="0.3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5" customHeight="1" x14ac:dyDescent="0.3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5" customHeight="1" x14ac:dyDescent="0.3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3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35">
      <c r="A410" s="216"/>
      <c r="B410" s="200"/>
      <c r="C410" s="20" t="s">
        <v>114</v>
      </c>
      <c r="D410" s="22" t="s">
        <v>115</v>
      </c>
      <c r="E410" s="20" t="s">
        <v>140</v>
      </c>
      <c r="F410" s="20" t="s">
        <v>141</v>
      </c>
      <c r="G410" s="25" t="s">
        <v>142</v>
      </c>
      <c r="H410" s="20" t="s">
        <v>143</v>
      </c>
      <c r="I410" s="222"/>
      <c r="J410" s="13"/>
    </row>
    <row r="411" spans="1:10" ht="14.15" customHeight="1" x14ac:dyDescent="0.3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5" customHeight="1" x14ac:dyDescent="0.3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5" customHeight="1" x14ac:dyDescent="0.3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5" customHeight="1" x14ac:dyDescent="0.35">
      <c r="A414" s="216"/>
      <c r="B414" s="74"/>
      <c r="C414" s="263" t="s">
        <v>117</v>
      </c>
      <c r="D414" s="10"/>
      <c r="E414" s="26">
        <f>SUM(E415:E416)</f>
        <v>47.141999999999996</v>
      </c>
      <c r="F414" s="26">
        <f>SUM(F415:F416)</f>
        <v>922.26585999999998</v>
      </c>
      <c r="G414" s="87"/>
      <c r="H414" s="26">
        <f>SUM(H415:H416)</f>
        <v>899.73315000000002</v>
      </c>
      <c r="I414" s="27"/>
      <c r="J414" s="132"/>
    </row>
    <row r="415" spans="1:10" ht="14.15" customHeight="1" x14ac:dyDescent="0.35">
      <c r="A415" s="216"/>
      <c r="B415" s="74"/>
      <c r="C415" s="29" t="s">
        <v>8</v>
      </c>
      <c r="D415" s="44"/>
      <c r="E415" s="30">
        <f>37.977</f>
        <v>37.976999999999997</v>
      </c>
      <c r="F415" s="30">
        <f>708.01267</f>
        <v>708.01266999999996</v>
      </c>
      <c r="G415" s="99"/>
      <c r="H415" s="30">
        <f>700.53658</f>
        <v>700.53657999999996</v>
      </c>
      <c r="I415" s="152"/>
      <c r="J415" s="132"/>
    </row>
    <row r="416" spans="1:10" ht="14.15" customHeight="1" x14ac:dyDescent="0.35">
      <c r="A416" s="216"/>
      <c r="B416" s="74"/>
      <c r="C416" s="29" t="s">
        <v>11</v>
      </c>
      <c r="D416" s="219"/>
      <c r="E416" s="30">
        <f>9.165</f>
        <v>9.1649999999999991</v>
      </c>
      <c r="F416" s="30">
        <f>214.25319</f>
        <v>214.25318999999999</v>
      </c>
      <c r="G416" s="110"/>
      <c r="H416" s="30">
        <f>199.19657</f>
        <v>199.19657000000001</v>
      </c>
      <c r="I416" s="152"/>
      <c r="J416" s="132"/>
    </row>
    <row r="417" spans="1:10" ht="14.15" customHeight="1" x14ac:dyDescent="0.35">
      <c r="A417" s="216"/>
      <c r="B417" s="74"/>
      <c r="C417" s="263" t="s">
        <v>118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5" customHeight="1" x14ac:dyDescent="0.3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5" customHeight="1" x14ac:dyDescent="0.3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5" customHeight="1" x14ac:dyDescent="0.3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5" customHeight="1" thickBot="1" x14ac:dyDescent="0.4">
      <c r="A421" s="216"/>
      <c r="B421" s="74"/>
      <c r="C421" s="283" t="s">
        <v>88</v>
      </c>
      <c r="D421" s="41">
        <f>D411+D414+D417</f>
        <v>0</v>
      </c>
      <c r="E421" s="42">
        <f>E411+E414+E417+E420</f>
        <v>47.141999999999996</v>
      </c>
      <c r="F421" s="42">
        <f>F411+F414+F417+F420</f>
        <v>3119.0129899999997</v>
      </c>
      <c r="G421" s="43">
        <f>SUM(G411:G420)</f>
        <v>0</v>
      </c>
      <c r="H421" s="42">
        <f>H411+H414+H417+H420</f>
        <v>2287.3654799999999</v>
      </c>
      <c r="I421" s="27"/>
      <c r="J421" s="132"/>
    </row>
    <row r="422" spans="1:10" ht="14.15" customHeight="1" x14ac:dyDescent="0.35">
      <c r="A422" s="216"/>
      <c r="B422" s="74"/>
      <c r="C422" s="303" t="s">
        <v>147</v>
      </c>
      <c r="D422" s="303"/>
      <c r="E422" s="303"/>
      <c r="F422" s="303"/>
      <c r="G422" s="303"/>
      <c r="H422" s="305"/>
      <c r="I422" s="152"/>
      <c r="J422" s="132"/>
    </row>
    <row r="423" spans="1:10" ht="26.5" customHeight="1" thickBot="1" x14ac:dyDescent="0.4">
      <c r="A423" s="216"/>
      <c r="B423" s="8"/>
      <c r="C423" s="304"/>
      <c r="D423" s="304"/>
      <c r="E423" s="304"/>
      <c r="F423" s="304"/>
      <c r="G423" s="304"/>
      <c r="H423" s="306"/>
      <c r="I423" s="212"/>
      <c r="J423" s="12"/>
    </row>
    <row r="424" spans="1:10" ht="0" hidden="1" customHeight="1" x14ac:dyDescent="0.35"/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16.5" customHeight="1" thickTop="1" x14ac:dyDescent="0.35"/>
  </sheetData>
  <mergeCells count="12">
    <mergeCell ref="C422:G423"/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27&amp;R10.07.2023</oddHeader>
    <oddFooter>&amp;LFiskeridirektoratet&amp;CSeksjon fiskeriregulering&amp;RAlejandro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2023-07-10T09:24:40Z</dcterms:modified>
</cp:coreProperties>
</file>