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7ADF834B-AF31-4EBD-BE22-6DD0A56C5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331" i="1" l="1"/>
  <c r="H329" i="1"/>
  <c r="F329" i="1"/>
  <c r="E329" i="1"/>
  <c r="H328" i="1"/>
  <c r="F328" i="1"/>
  <c r="F327" i="1" s="1"/>
  <c r="G327" i="1" s="1"/>
  <c r="E328" i="1"/>
  <c r="H327" i="1"/>
  <c r="E327" i="1"/>
  <c r="H326" i="1"/>
  <c r="F326" i="1"/>
  <c r="E326" i="1"/>
  <c r="E324" i="1" s="1"/>
  <c r="H325" i="1"/>
  <c r="F325" i="1"/>
  <c r="F324" i="1" s="1"/>
  <c r="G324" i="1" s="1"/>
  <c r="E325" i="1"/>
  <c r="H324" i="1"/>
  <c r="H323" i="1"/>
  <c r="F323" i="1"/>
  <c r="E323" i="1"/>
  <c r="E321" i="1" s="1"/>
  <c r="E331" i="1" s="1"/>
  <c r="H322" i="1"/>
  <c r="F322" i="1"/>
  <c r="F321" i="1" s="1"/>
  <c r="E322" i="1"/>
  <c r="H321" i="1"/>
  <c r="H331" i="1" s="1"/>
  <c r="E299" i="1"/>
  <c r="D299" i="1"/>
  <c r="I298" i="1"/>
  <c r="G298" i="1"/>
  <c r="H298" i="1" s="1"/>
  <c r="F298" i="1"/>
  <c r="I297" i="1"/>
  <c r="G297" i="1"/>
  <c r="H297" i="1" s="1"/>
  <c r="F297" i="1"/>
  <c r="I296" i="1"/>
  <c r="G296" i="1"/>
  <c r="F296" i="1"/>
  <c r="F294" i="1" s="1"/>
  <c r="I295" i="1"/>
  <c r="G295" i="1"/>
  <c r="G294" i="1" s="1"/>
  <c r="H294" i="1" s="1"/>
  <c r="F295" i="1"/>
  <c r="I294" i="1"/>
  <c r="I293" i="1"/>
  <c r="G293" i="1"/>
  <c r="H293" i="1" s="1"/>
  <c r="F293" i="1"/>
  <c r="I292" i="1"/>
  <c r="H292" i="1"/>
  <c r="G292" i="1"/>
  <c r="F292" i="1"/>
  <c r="I291" i="1"/>
  <c r="G291" i="1"/>
  <c r="G288" i="1" s="1"/>
  <c r="G299" i="1" s="1"/>
  <c r="F291" i="1"/>
  <c r="F288" i="1" s="1"/>
  <c r="F299" i="1" s="1"/>
  <c r="I290" i="1"/>
  <c r="H290" i="1"/>
  <c r="G290" i="1"/>
  <c r="F290" i="1"/>
  <c r="I289" i="1"/>
  <c r="G289" i="1"/>
  <c r="H289" i="1" s="1"/>
  <c r="F289" i="1"/>
  <c r="I288" i="1"/>
  <c r="I299" i="1" s="1"/>
  <c r="E288" i="1"/>
  <c r="D288" i="1"/>
  <c r="H280" i="1"/>
  <c r="F280" i="1"/>
  <c r="D262" i="1"/>
  <c r="H261" i="1"/>
  <c r="F261" i="1"/>
  <c r="E261" i="1"/>
  <c r="H260" i="1"/>
  <c r="G260" i="1"/>
  <c r="F260" i="1"/>
  <c r="E260" i="1"/>
  <c r="H259" i="1"/>
  <c r="F259" i="1"/>
  <c r="G259" i="1" s="1"/>
  <c r="E259" i="1"/>
  <c r="H258" i="1"/>
  <c r="H262" i="1" s="1"/>
  <c r="G258" i="1"/>
  <c r="F258" i="1"/>
  <c r="F262" i="1" s="1"/>
  <c r="G262" i="1" s="1"/>
  <c r="E258" i="1"/>
  <c r="E262" i="1" s="1"/>
  <c r="D251" i="1"/>
  <c r="E207" i="1"/>
  <c r="D207" i="1"/>
  <c r="G206" i="1"/>
  <c r="H205" i="1"/>
  <c r="F205" i="1"/>
  <c r="G205" i="1" s="1"/>
  <c r="E205" i="1"/>
  <c r="H204" i="1"/>
  <c r="H207" i="1" s="1"/>
  <c r="G204" i="1"/>
  <c r="F204" i="1"/>
  <c r="F207" i="1" s="1"/>
  <c r="G207" i="1" s="1"/>
  <c r="E204" i="1"/>
  <c r="D184" i="1"/>
  <c r="H182" i="1"/>
  <c r="G182" i="1"/>
  <c r="F182" i="1"/>
  <c r="E182" i="1"/>
  <c r="H181" i="1"/>
  <c r="F181" i="1"/>
  <c r="E181" i="1"/>
  <c r="H180" i="1"/>
  <c r="F180" i="1"/>
  <c r="E180" i="1"/>
  <c r="H179" i="1"/>
  <c r="H178" i="1" s="1"/>
  <c r="H184" i="1" s="1"/>
  <c r="F179" i="1"/>
  <c r="E179" i="1"/>
  <c r="F178" i="1"/>
  <c r="G178" i="1" s="1"/>
  <c r="E178" i="1"/>
  <c r="H177" i="1"/>
  <c r="F177" i="1"/>
  <c r="G177" i="1" s="1"/>
  <c r="E177" i="1"/>
  <c r="H176" i="1"/>
  <c r="F176" i="1"/>
  <c r="G175" i="1" s="1"/>
  <c r="E176" i="1"/>
  <c r="H175" i="1"/>
  <c r="F175" i="1"/>
  <c r="F184" i="1" s="1"/>
  <c r="E175" i="1"/>
  <c r="E184" i="1" s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I139" i="1" s="1"/>
  <c r="H140" i="1"/>
  <c r="G140" i="1"/>
  <c r="F140" i="1"/>
  <c r="G139" i="1"/>
  <c r="F139" i="1"/>
  <c r="E139" i="1"/>
  <c r="E133" i="1" s="1"/>
  <c r="E150" i="1" s="1"/>
  <c r="I138" i="1"/>
  <c r="H138" i="1"/>
  <c r="F138" i="1"/>
  <c r="I137" i="1"/>
  <c r="H137" i="1"/>
  <c r="F137" i="1"/>
  <c r="I136" i="1"/>
  <c r="H136" i="1"/>
  <c r="F136" i="1"/>
  <c r="I135" i="1"/>
  <c r="G134" i="1"/>
  <c r="G133" i="1" s="1"/>
  <c r="F135" i="1"/>
  <c r="F134" i="1" s="1"/>
  <c r="F133" i="1" s="1"/>
  <c r="I134" i="1"/>
  <c r="I133" i="1" s="1"/>
  <c r="E134" i="1"/>
  <c r="I132" i="1"/>
  <c r="H132" i="1"/>
  <c r="F132" i="1"/>
  <c r="H131" i="1"/>
  <c r="I130" i="1"/>
  <c r="H130" i="1"/>
  <c r="G130" i="1"/>
  <c r="F130" i="1"/>
  <c r="I129" i="1"/>
  <c r="G129" i="1"/>
  <c r="G128" i="1" s="1"/>
  <c r="F129" i="1"/>
  <c r="F128" i="1" s="1"/>
  <c r="F150" i="1" s="1"/>
  <c r="I128" i="1"/>
  <c r="E128" i="1"/>
  <c r="C126" i="1"/>
  <c r="D107" i="1"/>
  <c r="H106" i="1"/>
  <c r="H105" i="1"/>
  <c r="H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H96" i="1" s="1"/>
  <c r="H95" i="1" s="1"/>
  <c r="G98" i="1"/>
  <c r="F98" i="1"/>
  <c r="I97" i="1"/>
  <c r="H97" i="1"/>
  <c r="G97" i="1"/>
  <c r="F97" i="1"/>
  <c r="I96" i="1"/>
  <c r="G96" i="1"/>
  <c r="G95" i="1" s="1"/>
  <c r="F96" i="1"/>
  <c r="F95" i="1" s="1"/>
  <c r="E96" i="1"/>
  <c r="I95" i="1"/>
  <c r="E95" i="1"/>
  <c r="I94" i="1"/>
  <c r="H94" i="1"/>
  <c r="G94" i="1"/>
  <c r="F94" i="1"/>
  <c r="I93" i="1"/>
  <c r="G93" i="1"/>
  <c r="G92" i="1" s="1"/>
  <c r="F93" i="1"/>
  <c r="F92" i="1" s="1"/>
  <c r="F107" i="1" s="1"/>
  <c r="I92" i="1"/>
  <c r="I107" i="1" s="1"/>
  <c r="E92" i="1"/>
  <c r="E107" i="1" s="1"/>
  <c r="C89" i="1"/>
  <c r="H85" i="1"/>
  <c r="F85" i="1"/>
  <c r="D85" i="1"/>
  <c r="G61" i="1"/>
  <c r="G60" i="1"/>
  <c r="H55" i="1"/>
  <c r="I32" i="1" s="1"/>
  <c r="F55" i="1"/>
  <c r="G55" i="1" s="1"/>
  <c r="E55" i="1"/>
  <c r="F32" i="1" s="1"/>
  <c r="F27" i="1" s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G35" i="1"/>
  <c r="G34" i="1" s="1"/>
  <c r="F35" i="1"/>
  <c r="F34" i="1" s="1"/>
  <c r="I34" i="1"/>
  <c r="I26" i="1" s="1"/>
  <c r="E34" i="1"/>
  <c r="I33" i="1"/>
  <c r="G33" i="1"/>
  <c r="H33" i="1" s="1"/>
  <c r="F33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I27" i="1" s="1"/>
  <c r="G28" i="1"/>
  <c r="H28" i="1" s="1"/>
  <c r="H27" i="1" s="1"/>
  <c r="F28" i="1"/>
  <c r="E27" i="1"/>
  <c r="E26" i="1" s="1"/>
  <c r="I25" i="1"/>
  <c r="I23" i="1" s="1"/>
  <c r="G25" i="1"/>
  <c r="H25" i="1" s="1"/>
  <c r="F25" i="1"/>
  <c r="I24" i="1"/>
  <c r="G24" i="1"/>
  <c r="H24" i="1" s="1"/>
  <c r="F24" i="1"/>
  <c r="F23" i="1" s="1"/>
  <c r="G23" i="1"/>
  <c r="E23" i="1"/>
  <c r="H16" i="1"/>
  <c r="F16" i="1"/>
  <c r="D16" i="1"/>
  <c r="G150" i="1" l="1"/>
  <c r="H23" i="1"/>
  <c r="G184" i="1"/>
  <c r="G107" i="1"/>
  <c r="H139" i="1"/>
  <c r="G321" i="1"/>
  <c r="G331" i="1" s="1"/>
  <c r="F331" i="1"/>
  <c r="I44" i="1"/>
  <c r="E44" i="1"/>
  <c r="I150" i="1"/>
  <c r="F26" i="1"/>
  <c r="F44" i="1"/>
  <c r="H34" i="1"/>
  <c r="H26" i="1" s="1"/>
  <c r="H135" i="1"/>
  <c r="H134" i="1" s="1"/>
  <c r="H133" i="1" s="1"/>
  <c r="G27" i="1"/>
  <c r="G26" i="1" s="1"/>
  <c r="G44" i="1" s="1"/>
  <c r="H35" i="1"/>
  <c r="H93" i="1"/>
  <c r="H92" i="1" s="1"/>
  <c r="H107" i="1" s="1"/>
  <c r="H129" i="1"/>
  <c r="H128" i="1" s="1"/>
  <c r="H291" i="1"/>
  <c r="H288" i="1" s="1"/>
  <c r="H299" i="1" s="1"/>
  <c r="H150" i="1" l="1"/>
  <c r="H44" i="1"/>
</calcChain>
</file>

<file path=xl/sharedStrings.xml><?xml version="1.0" encoding="utf-8"?>
<sst xmlns="http://schemas.openxmlformats.org/spreadsheetml/2006/main" count="328" uniqueCount="146">
  <si>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</si>
  <si>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</si>
  <si>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</si>
  <si>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</si>
  <si>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</si>
  <si>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</si>
  <si>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</si>
  <si>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</si>
  <si>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</si>
  <si>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</si>
  <si>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</si>
  <si>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</si>
  <si>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</si>
  <si>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</si>
  <si>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</si>
  <si>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</si>
  <si>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</si>
  <si>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</si>
  <si>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</si>
  <si>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</si>
  <si>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</si>
  <si>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</si>
  <si>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</si>
  <si>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</si>
  <si>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</si>
  <si>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</si>
  <si>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</si>
  <si>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</si>
  <si>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</si>
  <si>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</si>
  <si>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</si>
  <si>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</si>
  <si>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</si>
  <si>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</si>
  <si>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</si>
  <si>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</si>
  <si>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</si>
  <si>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</si>
  <si>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</si>
  <si>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</si>
  <si>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</si>
  <si>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</si>
  <si>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</si>
  <si>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</si>
  <si>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</si>
  <si>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</si>
  <si>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</si>
  <si>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</si>
  <si>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</si>
  <si>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</si>
  <si>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</si>
  <si>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</si>
  <si>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</si>
  <si>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</si>
  <si>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</si>
  <si>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</si>
  <si>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</si>
  <si>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</si>
  <si>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</si>
  <si>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</si>
  <si>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</si>
  <si>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</si>
  <si>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</si>
  <si>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</si>
  <si>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</si>
  <si>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</si>
  <si>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</si>
  <si>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</si>
  <si>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</si>
  <si>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</si>
  <si>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</si>
  <si>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</si>
  <si>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</si>
  <si>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</si>
  <si>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</si>
  <si>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</si>
  <si>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</si>
  <si>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</si>
  <si>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</si>
  <si>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</si>
  <si>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</si>
  <si>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</si>
  <si>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</si>
  <si>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</si>
  <si>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</si>
  <si>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</si>
  <si>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</si>
  <si>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</si>
  <si>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</si>
  <si>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</si>
  <si>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</si>
  <si>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</si>
  <si>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</si>
  <si>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</si>
  <si>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</si>
  <si>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</si>
  <si>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</si>
  <si>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</si>
  <si>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</si>
  <si>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</si>
  <si>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</si>
  <si>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</si>
  <si>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</si>
  <si>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</si>
  <si>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</si>
  <si>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</si>
  <si>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</si>
  <si>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</si>
  <si>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</si>
  <si>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</si>
  <si>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</si>
  <si>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</si>
  <si>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</si>
  <si>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</si>
  <si>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</si>
  <si>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</si>
  <si>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</si>
  <si>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</si>
  <si>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</si>
  <si>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</si>
  <si>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</si>
  <si>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</si>
  <si>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</si>
  <si>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</si>
  <si>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</si>
  <si>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</si>
  <si>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</si>
  <si>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</si>
  <si>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</si>
  <si>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</si>
  <si>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</si>
  <si>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</si>
  <si>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</si>
  <si>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</si>
  <si>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</si>
  <si>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</si>
  <si>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</si>
  <si>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</si>
  <si>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t>FANGST UKE 5</t>
  </si>
  <si>
    <t>FANGST T.O.M UKE 5</t>
  </si>
  <si>
    <t>RESTKVOTER UKE 5</t>
  </si>
  <si>
    <t>FANGST T.O.M UKE 5 2022</t>
  </si>
  <si>
    <r>
      <t xml:space="preserve">3 </t>
    </r>
    <r>
      <rPr>
        <sz val="9"/>
        <color indexed="8"/>
        <rFont val="Calibri"/>
        <family val="2"/>
      </rPr>
      <t>Registrert rekreasjonsfiske utgjør 41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</si>
  <si>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</si>
  <si>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25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</si>
  <si>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207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</si>
</sst>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>
      <selection activeCell="G21" sqref="G21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137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77193</v>
      </c>
      <c r="G12" s="117" t="s">
        <v>5</v>
      </c>
      <c r="H12" s="116">
        <v>21013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164035</v>
      </c>
      <c r="G13" s="117" t="s">
        <v>8</v>
      </c>
      <c r="H13" s="119">
        <v>117222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14760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260782</v>
      </c>
      <c r="G16" s="180" t="s">
        <v>7</v>
      </c>
      <c r="H16" s="192">
        <f>SUM(H12:H15)</f>
        <v>164035</v>
      </c>
      <c r="J16" s="242"/>
    </row>
    <row r="17" spans="1:10" ht="15" customHeight="1" x14ac:dyDescent="0.25">
      <c r="A17" s="101"/>
      <c r="B17" s="24"/>
      <c r="C17" s="101"/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77193</v>
      </c>
      <c r="E23" s="28">
        <f t="shared" ref="E23:I23" si="0">E25+E24</f>
        <v>77193</v>
      </c>
      <c r="F23" s="28">
        <f t="shared" si="0"/>
        <v>1325.3625</v>
      </c>
      <c r="G23" s="28">
        <f t="shared" si="0"/>
        <v>6475.2941600000004</v>
      </c>
      <c r="H23" s="11">
        <f t="shared" si="0"/>
        <v>70717.705839999995</v>
      </c>
      <c r="I23" s="11">
        <f t="shared" si="0"/>
        <v>12921.89005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76443</v>
      </c>
      <c r="E24" s="48">
        <v>76443</v>
      </c>
      <c r="F24" s="23">
        <f>1325.3625</f>
        <v>1325.3625</v>
      </c>
      <c r="G24" s="23">
        <f>6428.51216</f>
        <v>6428.5121600000002</v>
      </c>
      <c r="H24" s="23">
        <f>E24-G24</f>
        <v>70014.487840000002</v>
      </c>
      <c r="I24" s="23">
        <f>12882.98477</f>
        <v>12882.984769999999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750</v>
      </c>
      <c r="F25" s="173">
        <f>0</f>
        <v>0</v>
      </c>
      <c r="G25" s="23">
        <f>46.782</f>
        <v>46.781999999999996</v>
      </c>
      <c r="H25" s="23">
        <f>E25-G25</f>
        <v>703.21799999999996</v>
      </c>
      <c r="I25" s="23">
        <f>38.90528</f>
        <v>38.905279999999998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169338</v>
      </c>
      <c r="E26" s="28">
        <f t="shared" ref="E26:I26" si="1">E34+E33+E27</f>
        <v>169338</v>
      </c>
      <c r="F26" s="28">
        <f t="shared" si="1"/>
        <v>6085.7878799999999</v>
      </c>
      <c r="G26" s="11">
        <f t="shared" si="1"/>
        <v>15113.050660000001</v>
      </c>
      <c r="H26" s="11">
        <f t="shared" si="1"/>
        <v>154224.94933999999</v>
      </c>
      <c r="I26" s="11">
        <f t="shared" si="1"/>
        <v>21966.332900000001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132365</v>
      </c>
      <c r="E27" s="60">
        <f t="shared" ref="E27:I27" si="2">E28+E29+E30+E31+E32</f>
        <v>132365</v>
      </c>
      <c r="F27" s="134">
        <f>F28+F29+F30+F31+F32</f>
        <v>4438.0870599999998</v>
      </c>
      <c r="G27" s="134">
        <f t="shared" si="2"/>
        <v>9982.2045699999999</v>
      </c>
      <c r="H27" s="134">
        <f t="shared" si="2"/>
        <v>122382.79543</v>
      </c>
      <c r="I27" s="134">
        <f t="shared" si="2"/>
        <v>16333.815840000001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31737</v>
      </c>
      <c r="E28" s="65">
        <v>31737</v>
      </c>
      <c r="F28" s="205">
        <f>1176.88993</f>
        <v>1176.88993</v>
      </c>
      <c r="G28" s="129">
        <f>2647.85212 - F57</f>
        <v>2647.85212</v>
      </c>
      <c r="H28" s="129">
        <f t="shared" ref="H28:H40" si="3">E28-G28</f>
        <v>29089.14788</v>
      </c>
      <c r="I28" s="129">
        <f>3513.21268 - H57</f>
        <v>3513.2126800000001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35412</v>
      </c>
      <c r="E29" s="65">
        <v>35412</v>
      </c>
      <c r="F29" s="129">
        <f>1747.30244</f>
        <v>1747.3024399999999</v>
      </c>
      <c r="G29" s="129">
        <f>3899.95459 - F58</f>
        <v>3899.9545899999998</v>
      </c>
      <c r="H29" s="129">
        <f t="shared" si="3"/>
        <v>31512.045409999999</v>
      </c>
      <c r="I29" s="129">
        <f>6047.4124 - H58</f>
        <v>6047.4124000000002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32013</v>
      </c>
      <c r="E30" s="65">
        <v>32013</v>
      </c>
      <c r="F30" s="129">
        <f>746.70408</f>
        <v>746.70407999999998</v>
      </c>
      <c r="G30" s="129">
        <f>1965.04045 - F59</f>
        <v>1965.04045</v>
      </c>
      <c r="H30" s="129">
        <f t="shared" si="3"/>
        <v>30047.95955</v>
      </c>
      <c r="I30" s="129">
        <f>3752.16607 - H59</f>
        <v>3752.1660700000002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23363</v>
      </c>
      <c r="E31" s="65">
        <v>23363</v>
      </c>
      <c r="F31" s="129">
        <f>767.19061</f>
        <v>767.19060999999999</v>
      </c>
      <c r="G31" s="129">
        <f>1469.35741 - F60</f>
        <v>1469.3574100000001</v>
      </c>
      <c r="H31" s="129">
        <f t="shared" si="3"/>
        <v>21893.642589999999</v>
      </c>
      <c r="I31" s="129">
        <f>3021.02469 - H60</f>
        <v>3021.0246900000002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9840</v>
      </c>
      <c r="F32" s="129">
        <f>E55</f>
        <v>0</v>
      </c>
      <c r="G32" s="129">
        <f>F55</f>
        <v>0</v>
      </c>
      <c r="H32" s="129">
        <f t="shared" si="3"/>
        <v>9840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21013</v>
      </c>
      <c r="E33" s="60">
        <v>21013</v>
      </c>
      <c r="F33" s="134">
        <f>1121.56468</f>
        <v>1121.56468</v>
      </c>
      <c r="G33" s="134">
        <f>3992.8763</f>
        <v>3992.8762999999999</v>
      </c>
      <c r="H33" s="134">
        <f t="shared" si="3"/>
        <v>17020.1237</v>
      </c>
      <c r="I33" s="134">
        <f>4883.48207</f>
        <v>4883.48207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15960</v>
      </c>
      <c r="E34" s="60">
        <f>E35+E36</f>
        <v>15960</v>
      </c>
      <c r="F34" s="134">
        <f>F35+F36</f>
        <v>526.13613999999995</v>
      </c>
      <c r="G34" s="134">
        <f>G35+G36</f>
        <v>1137.9697900000001</v>
      </c>
      <c r="H34" s="134">
        <f t="shared" si="3"/>
        <v>14822.030210000001</v>
      </c>
      <c r="I34" s="134">
        <f>I35+I36</f>
        <v>749.03498999999999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14760</v>
      </c>
      <c r="E35" s="65">
        <v>14760</v>
      </c>
      <c r="F35" s="129">
        <f>526.13614</f>
        <v>526.13613999999995</v>
      </c>
      <c r="G35" s="134">
        <f>1137.96979 - F61 - F62</f>
        <v>1137.9697900000001</v>
      </c>
      <c r="H35" s="129">
        <f t="shared" si="3"/>
        <v>13622.030210000001</v>
      </c>
      <c r="I35" s="129">
        <f>749.03499 - H61 - H62</f>
        <v>749.03498999999999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0</f>
        <v>0</v>
      </c>
      <c r="H37" s="141">
        <f t="shared" si="3"/>
        <v>3000</v>
      </c>
      <c r="I37" s="141">
        <f>0</f>
        <v>0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4.2825</f>
        <v>4.2824999999999998</v>
      </c>
      <c r="G38" s="100">
        <f>12.78075</f>
        <v>12.780749999999999</v>
      </c>
      <c r="H38" s="100">
        <f t="shared" si="3"/>
        <v>838.21924999999999</v>
      </c>
      <c r="I38" s="100">
        <f>27.32095</f>
        <v>27.32095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3000</v>
      </c>
      <c r="F39" s="100">
        <f>E61</f>
        <v>0</v>
      </c>
      <c r="G39" s="100">
        <f>F61</f>
        <v>0</v>
      </c>
      <c r="H39" s="100">
        <f t="shared" si="3"/>
        <v>3000</v>
      </c>
      <c r="I39" s="100">
        <f>H61</f>
        <v>0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14.02555</f>
        <v>14.025550000000001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260782</v>
      </c>
      <c r="E44" s="78">
        <f t="shared" si="4"/>
        <v>260782</v>
      </c>
      <c r="F44" s="78">
        <f t="shared" si="4"/>
        <v>7429.4614300000003</v>
      </c>
      <c r="G44" s="78">
        <f t="shared" si="4"/>
        <v>28680.686570000034</v>
      </c>
      <c r="H44" s="78">
        <f t="shared" si="4"/>
        <v>232101.31342999998</v>
      </c>
      <c r="I44" s="78">
        <f t="shared" si="4"/>
        <v>42036.482329999984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142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138</v>
      </c>
      <c r="F54" s="68" t="s">
        <v>139</v>
      </c>
      <c r="G54" s="68" t="s">
        <v>140</v>
      </c>
      <c r="H54" s="68" t="s">
        <v>141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0</v>
      </c>
      <c r="F55" s="11">
        <f>F59+F58+F57+F56</f>
        <v>0</v>
      </c>
      <c r="G55" s="299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/>
      <c r="F56" s="129"/>
      <c r="G56" s="300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/>
      <c r="F57" s="129"/>
      <c r="G57" s="300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/>
      <c r="F58" s="129"/>
      <c r="G58" s="300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/>
      <c r="F59" s="194"/>
      <c r="G59" s="301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/>
      <c r="F61" s="141"/>
      <c r="G61" s="141">
        <f>D61-F61</f>
        <v>3000</v>
      </c>
      <c r="H61" s="141"/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31131</v>
      </c>
      <c r="G82" s="193" t="s">
        <v>5</v>
      </c>
      <c r="H82" s="116">
        <v>9143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50792</v>
      </c>
      <c r="G83" s="193" t="s">
        <v>8</v>
      </c>
      <c r="H83" s="119">
        <v>37586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4063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84177</v>
      </c>
      <c r="G85" s="180" t="s">
        <v>7</v>
      </c>
      <c r="H85" s="192">
        <f>SUM(H82:H84)</f>
        <v>50792</v>
      </c>
      <c r="I85" s="181"/>
      <c r="J85" s="242"/>
    </row>
    <row r="86" spans="1:10" ht="14.25" customHeight="1" x14ac:dyDescent="0.25">
      <c r="A86" s="1"/>
      <c r="B86" s="252"/>
      <c r="C86" s="101"/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138</v>
      </c>
      <c r="G91" s="15" t="s">
        <v>139</v>
      </c>
      <c r="H91" s="15" t="s">
        <v>140</v>
      </c>
      <c r="I91" s="15" t="s">
        <v>141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31131</v>
      </c>
      <c r="E92" s="28">
        <f t="shared" ref="E92:I92" si="5">E94+E93</f>
        <v>31131</v>
      </c>
      <c r="F92" s="11">
        <f t="shared" si="5"/>
        <v>108.9914</v>
      </c>
      <c r="G92" s="11">
        <f t="shared" si="5"/>
        <v>854.94154000000003</v>
      </c>
      <c r="H92" s="11">
        <f t="shared" si="5"/>
        <v>30276.05846</v>
      </c>
      <c r="I92" s="11">
        <f t="shared" si="5"/>
        <v>1967.31079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30381</v>
      </c>
      <c r="E93" s="48">
        <v>30381</v>
      </c>
      <c r="F93" s="23">
        <f>108.9914</f>
        <v>108.9914</v>
      </c>
      <c r="G93" s="23">
        <f>841.75634</f>
        <v>841.75634000000002</v>
      </c>
      <c r="H93" s="23">
        <f>E93-G93</f>
        <v>29539.24366</v>
      </c>
      <c r="I93" s="23">
        <f>1950.80164</f>
        <v>1950.8016399999999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750</v>
      </c>
      <c r="F94" s="52">
        <f>0</f>
        <v>0</v>
      </c>
      <c r="G94" s="52">
        <f>13.1852</f>
        <v>13.1852</v>
      </c>
      <c r="H94" s="52">
        <f>E94-G94</f>
        <v>736.81479999999999</v>
      </c>
      <c r="I94" s="52">
        <f>16.50915</f>
        <v>16.509150000000002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v>52376</v>
      </c>
      <c r="E95" s="28">
        <f t="shared" ref="E95:I95" si="6">E96+E101+E102</f>
        <v>52376</v>
      </c>
      <c r="F95" s="11">
        <f t="shared" si="6"/>
        <v>830.02612999999997</v>
      </c>
      <c r="G95" s="11">
        <f t="shared" si="6"/>
        <v>3399.7151100000001</v>
      </c>
      <c r="H95" s="11">
        <f t="shared" si="6"/>
        <v>48976.284889999995</v>
      </c>
      <c r="I95" s="11">
        <f t="shared" si="6"/>
        <v>4245.1678000000002</v>
      </c>
      <c r="J95" s="242"/>
    </row>
    <row r="96" spans="1:10" ht="14.1" customHeight="1" x14ac:dyDescent="0.25">
      <c r="A96" s="1"/>
      <c r="B96" s="55"/>
      <c r="C96" s="59" t="s">
        <v>23</v>
      </c>
      <c r="D96" s="60">
        <v>39170</v>
      </c>
      <c r="E96" s="60">
        <f t="shared" ref="E96:I96" si="7">E97+E98+E99+E100</f>
        <v>39170</v>
      </c>
      <c r="F96" s="134">
        <f t="shared" si="7"/>
        <v>520.54744000000005</v>
      </c>
      <c r="G96" s="134">
        <f t="shared" si="7"/>
        <v>1955.9197300000001</v>
      </c>
      <c r="H96" s="134">
        <f t="shared" si="7"/>
        <v>37214.080269999999</v>
      </c>
      <c r="I96" s="134">
        <f t="shared" si="7"/>
        <v>2457.82726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10461</v>
      </c>
      <c r="E97" s="65">
        <v>10461</v>
      </c>
      <c r="F97" s="129">
        <f>190.4483</f>
        <v>190.44829999999999</v>
      </c>
      <c r="G97" s="129">
        <f>696.89278</f>
        <v>696.89278000000002</v>
      </c>
      <c r="H97" s="129">
        <f t="shared" ref="H97:H104" si="8">E97-G97</f>
        <v>9764.1072199999999</v>
      </c>
      <c r="I97" s="129">
        <f>611.91234</f>
        <v>611.91233999999997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11156</v>
      </c>
      <c r="E98" s="65">
        <v>11156</v>
      </c>
      <c r="F98" s="129">
        <f>187.74492</f>
        <v>187.74492000000001</v>
      </c>
      <c r="G98" s="129">
        <f>716.14538</f>
        <v>716.14538000000005</v>
      </c>
      <c r="H98" s="129">
        <f t="shared" si="8"/>
        <v>10439.85462</v>
      </c>
      <c r="I98" s="129">
        <f>960.19246</f>
        <v>960.19245999999998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10513</v>
      </c>
      <c r="E99" s="65">
        <v>10513</v>
      </c>
      <c r="F99" s="129">
        <f>89.8826</f>
        <v>89.882599999999996</v>
      </c>
      <c r="G99" s="129">
        <f>387.40456</f>
        <v>387.40456</v>
      </c>
      <c r="H99" s="129">
        <f t="shared" si="8"/>
        <v>10125.595439999999</v>
      </c>
      <c r="I99" s="129">
        <f>611.58799</f>
        <v>611.58798999999999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7040</v>
      </c>
      <c r="E100" s="65">
        <v>7040</v>
      </c>
      <c r="F100" s="129">
        <f>52.47162</f>
        <v>52.471620000000001</v>
      </c>
      <c r="G100" s="129">
        <f>155.47701</f>
        <v>155.47701000000001</v>
      </c>
      <c r="H100" s="129">
        <f t="shared" si="8"/>
        <v>6884.5229900000004</v>
      </c>
      <c r="I100" s="129">
        <f>274.13447</f>
        <v>274.13447000000002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9143</v>
      </c>
      <c r="E101" s="60">
        <v>9143</v>
      </c>
      <c r="F101" s="134">
        <f>202.47016</f>
        <v>202.47015999999999</v>
      </c>
      <c r="G101" s="134">
        <f>1099.09564</f>
        <v>1099.09564</v>
      </c>
      <c r="H101" s="134">
        <f t="shared" si="8"/>
        <v>8043.9043600000005</v>
      </c>
      <c r="I101" s="134">
        <f>1626.86752</f>
        <v>1626.86752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4063</v>
      </c>
      <c r="E102" s="63">
        <v>4063</v>
      </c>
      <c r="F102" s="77">
        <f>107.00853</f>
        <v>107.00852999999999</v>
      </c>
      <c r="G102" s="77">
        <f>344.69974</f>
        <v>344.69974000000002</v>
      </c>
      <c r="H102" s="77">
        <f t="shared" si="8"/>
        <v>3718.30026</v>
      </c>
      <c r="I102" s="77">
        <f>160.47302</f>
        <v>160.47301999999999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0.06441</f>
        <v>6.4409999999999995E-2</v>
      </c>
      <c r="G103" s="100">
        <f>0.21813</f>
        <v>0.21812999999999999</v>
      </c>
      <c r="H103" s="100">
        <f t="shared" si="8"/>
        <v>319.78187000000003</v>
      </c>
      <c r="I103" s="100">
        <f>5.89066</f>
        <v>5.8906599999999996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1.25075</f>
        <v>1.25075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84177</v>
      </c>
      <c r="E107" s="78">
        <f t="shared" ref="E107:I107" si="9">E92+E95+E103+E104+E105+E106</f>
        <v>84177</v>
      </c>
      <c r="F107" s="78">
        <f t="shared" si="9"/>
        <v>940.33268999999996</v>
      </c>
      <c r="G107" s="78">
        <f t="shared" si="9"/>
        <v>4563.642579999987</v>
      </c>
      <c r="H107" s="78">
        <f t="shared" si="9"/>
        <v>79613.357420000015</v>
      </c>
      <c r="I107" s="78">
        <f t="shared" si="9"/>
        <v>6562.1040299999995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143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138</v>
      </c>
      <c r="G127" s="15" t="s">
        <v>139</v>
      </c>
      <c r="H127" s="15" t="s">
        <v>140</v>
      </c>
      <c r="I127" s="15" t="s">
        <v>141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77128</v>
      </c>
      <c r="F128" s="11">
        <f t="shared" si="10"/>
        <v>1972.7212500000001</v>
      </c>
      <c r="G128" s="11">
        <f t="shared" si="10"/>
        <v>8878.35196</v>
      </c>
      <c r="H128" s="11">
        <f t="shared" si="10"/>
        <v>68249.64804</v>
      </c>
      <c r="I128" s="11">
        <f t="shared" si="10"/>
        <v>7727.4857499999998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61702</v>
      </c>
      <c r="F129" s="23">
        <f>1972.72125</f>
        <v>1972.7212500000001</v>
      </c>
      <c r="G129" s="23">
        <f>8205.91156</f>
        <v>8205.9115600000005</v>
      </c>
      <c r="H129" s="23">
        <f>E129-G129</f>
        <v>53496.08844</v>
      </c>
      <c r="I129" s="23">
        <f>6921.16759</f>
        <v>6921.16759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14926</v>
      </c>
      <c r="F130" s="23">
        <f>0</f>
        <v>0</v>
      </c>
      <c r="G130" s="23">
        <f>672.4404</f>
        <v>672.44039999999995</v>
      </c>
      <c r="H130" s="23">
        <f>E130-G130</f>
        <v>14253.559600000001</v>
      </c>
      <c r="I130" s="23">
        <f>806.31816</f>
        <v>806.31816000000003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52113</v>
      </c>
      <c r="F132" s="97">
        <f>0.642</f>
        <v>0.64200000000000002</v>
      </c>
      <c r="G132" s="97">
        <f>7.95395+207.32838</f>
        <v>215.28233</v>
      </c>
      <c r="H132" s="97">
        <f>E132-G132</f>
        <v>51897.717669999998</v>
      </c>
      <c r="I132" s="97">
        <f>12.942</f>
        <v>12.942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80719</v>
      </c>
      <c r="F133" s="96">
        <f>F134+F139+F142</f>
        <v>4089.12183</v>
      </c>
      <c r="G133" s="96">
        <f t="shared" ref="G133" si="11">G134+G139+G142</f>
        <v>15637.154659999998</v>
      </c>
      <c r="H133" s="96">
        <f>H134+H139+H142</f>
        <v>65081.84534</v>
      </c>
      <c r="I133" s="96">
        <f>I134+I139+I142</f>
        <v>8865.3538000000008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60916</v>
      </c>
      <c r="F134" s="127">
        <f>F135+F136+F137+F138</f>
        <v>3694.8699099999999</v>
      </c>
      <c r="G134" s="127">
        <f>G135+G136+G138+G137</f>
        <v>14472.167559999998</v>
      </c>
      <c r="H134" s="127">
        <f>H135+H136+H137+H138</f>
        <v>46443.832439999998</v>
      </c>
      <c r="I134" s="127">
        <f>I135+I136+I137+I138</f>
        <v>8361.6763800000008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16169</v>
      </c>
      <c r="F135" s="129">
        <f>550.76663</f>
        <v>550.76662999999996</v>
      </c>
      <c r="G135" s="129">
        <v>2657.3392100000001</v>
      </c>
      <c r="H135" s="129">
        <f>E135-G135</f>
        <v>13511.66079</v>
      </c>
      <c r="I135" s="129">
        <f>1356.24374</f>
        <v>1356.2437399999999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16559</v>
      </c>
      <c r="F136" s="129">
        <f>1304.26955</f>
        <v>1304.26955</v>
      </c>
      <c r="G136" s="129">
        <v>4158.0387499999997</v>
      </c>
      <c r="H136" s="129">
        <f>E136-G136</f>
        <v>12400.96125</v>
      </c>
      <c r="I136" s="129">
        <f>2531.55602</f>
        <v>2531.55602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15131</v>
      </c>
      <c r="F137" s="129">
        <f>747.45115</f>
        <v>747.45114999999998</v>
      </c>
      <c r="G137" s="129">
        <v>3459.1716799999999</v>
      </c>
      <c r="H137" s="129">
        <f>E137-G137</f>
        <v>11671.828320000001</v>
      </c>
      <c r="I137" s="129">
        <f>2679.30435</f>
        <v>2679.3043499999999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13057</v>
      </c>
      <c r="F138" s="129">
        <f>1092.38258</f>
        <v>1092.38258</v>
      </c>
      <c r="G138" s="129">
        <v>4197.6179199999997</v>
      </c>
      <c r="H138" s="129">
        <f>E138-G138</f>
        <v>8859.3820799999994</v>
      </c>
      <c r="I138" s="129">
        <f>1794.57227</f>
        <v>1794.5722699999999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8713</v>
      </c>
      <c r="F139" s="134">
        <f>SUM(F140:F141)</f>
        <v>192.08699999999999</v>
      </c>
      <c r="G139" s="134">
        <f>SUM(G140:G141)</f>
        <v>417.08616999999998</v>
      </c>
      <c r="H139" s="134">
        <f>H140+H141</f>
        <v>8295.9138299999995</v>
      </c>
      <c r="I139" s="134">
        <f>SUM(I140:I141)</f>
        <v>20.581050000000001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8213</v>
      </c>
      <c r="F140" s="129">
        <f>184.79325</f>
        <v>184.79325</v>
      </c>
      <c r="G140" s="129">
        <f>407.68978</f>
        <v>407.68977999999998</v>
      </c>
      <c r="H140" s="129">
        <f t="shared" ref="H140:H147" si="12">E140-G140</f>
        <v>7805.3102200000003</v>
      </c>
      <c r="I140" s="129">
        <f>18.38025</f>
        <v>18.38025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7.29375</f>
        <v>7.2937500000000002</v>
      </c>
      <c r="G141" s="129">
        <f>9.39639</f>
        <v>9.3963900000000002</v>
      </c>
      <c r="H141" s="129">
        <f t="shared" si="12"/>
        <v>490.60361</v>
      </c>
      <c r="I141" s="129">
        <f>2.2008</f>
        <v>2.2008000000000001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11090</v>
      </c>
      <c r="F142" s="77">
        <f>202.16492</f>
        <v>202.16492</v>
      </c>
      <c r="G142" s="77">
        <f>747.90093</f>
        <v>747.90093000000002</v>
      </c>
      <c r="H142" s="77">
        <f t="shared" si="12"/>
        <v>10342.09907</v>
      </c>
      <c r="I142" s="77">
        <f>483.09637</f>
        <v>483.09636999999998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0.02633</f>
        <v>2.6329999999999999E-2</v>
      </c>
      <c r="G143" s="141">
        <f>0.99293</f>
        <v>0.99292999999999998</v>
      </c>
      <c r="H143" s="141">
        <f t="shared" si="12"/>
        <v>136.00707</v>
      </c>
      <c r="I143" s="141">
        <f>1.14564</f>
        <v>1.14564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6.34251</f>
        <v>6.3425099999999999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212542</v>
      </c>
      <c r="F150" s="78">
        <f>F128+F132+F133+F143+F144+F145+F146+F147+F148</f>
        <v>6068.8539200000005</v>
      </c>
      <c r="G150" s="78">
        <f>G128+G132+G133+G143+G144+G145+G146+G147+G148</f>
        <v>26731.781879999999</v>
      </c>
      <c r="H150" s="78">
        <f>H128+H132+H133+H143+H144+H145+H146+H147+H148</f>
        <v>185810.21811999998</v>
      </c>
      <c r="I150" s="78">
        <f>I128+I132+I133+I143+I144+I145+I146+I147+I148</f>
        <v>18606.927189999999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145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144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138</v>
      </c>
      <c r="F174" s="15" t="s">
        <v>139</v>
      </c>
      <c r="G174" s="56" t="s">
        <v>140</v>
      </c>
      <c r="H174" s="15" t="s">
        <v>141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2.9223</f>
        <v>2.9222999999999999</v>
      </c>
      <c r="F175" s="274">
        <f>163.11791</f>
        <v>163.11790999999999</v>
      </c>
      <c r="G175" s="45">
        <f>D175-F175-F176</f>
        <v>4719.5132800000001</v>
      </c>
      <c r="H175" s="274">
        <f>105.08656</f>
        <v>105.08656000000001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19.72752</f>
        <v>19.727519999999998</v>
      </c>
      <c r="F176" s="154">
        <f>105.36881</f>
        <v>105.36881</v>
      </c>
      <c r="G176" s="215"/>
      <c r="H176" s="154">
        <f>107.83355</f>
        <v>107.83355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15.06384</f>
        <v>15.063840000000001</v>
      </c>
      <c r="G177" s="174">
        <f>D177-F177</f>
        <v>184.93616</v>
      </c>
      <c r="H177" s="174">
        <f>0.15312</f>
        <v>0.15312000000000001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0.66932000000000003</v>
      </c>
      <c r="F178" s="183">
        <f>F179+F180+F181</f>
        <v>1.7783199999999999</v>
      </c>
      <c r="G178" s="183">
        <f>D178-F178</f>
        <v>7479.2216799999997</v>
      </c>
      <c r="H178" s="183">
        <f>H179+H180+H181</f>
        <v>4.4229400000000005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0.03716</f>
        <v>3.7159999999999999E-2</v>
      </c>
      <c r="F179" s="129">
        <f>0.18862</f>
        <v>0.18862000000000001</v>
      </c>
      <c r="G179" s="129"/>
      <c r="H179" s="129">
        <f>0.17328</f>
        <v>0.17327999999999999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0.61716</f>
        <v>0.61716000000000004</v>
      </c>
      <c r="F180" s="129">
        <f>0.99806</f>
        <v>0.99805999999999995</v>
      </c>
      <c r="G180" s="129"/>
      <c r="H180" s="129">
        <f>3.30731</f>
        <v>3.3073100000000002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0.015</f>
        <v>1.4999999999999999E-2</v>
      </c>
      <c r="F181" s="194">
        <f>0.59164</f>
        <v>0.59164000000000005</v>
      </c>
      <c r="G181" s="194"/>
      <c r="H181" s="194">
        <f>0.94235</f>
        <v>0.94235000000000002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23.319139999999997</v>
      </c>
      <c r="F184" s="196">
        <f>F175+F176+F177+F178+F182+F183</f>
        <v>285.32888000000003</v>
      </c>
      <c r="G184" s="196">
        <f>D184-F184</f>
        <v>12449.671119999999</v>
      </c>
      <c r="H184" s="196">
        <f>H175+H176+H177+H178+H182+H183</f>
        <v>217.49617000000003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138</v>
      </c>
      <c r="F203" s="68" t="s">
        <v>139</v>
      </c>
      <c r="G203" s="68" t="s">
        <v>140</v>
      </c>
      <c r="H203" s="68" t="s">
        <v>141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48.14522</f>
        <v>48.145220000000002</v>
      </c>
      <c r="F204" s="124">
        <f>2204.00073</f>
        <v>2204.0007300000002</v>
      </c>
      <c r="G204" s="124">
        <f>D204-F204</f>
        <v>41634.99927</v>
      </c>
      <c r="H204" s="124">
        <f>937.32495</f>
        <v>937.32494999999994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</f>
        <v>0</v>
      </c>
      <c r="F205" s="124">
        <f>0.0055</f>
        <v>5.4999999999999997E-3</v>
      </c>
      <c r="G205" s="124">
        <f>D205-F205</f>
        <v>99.994500000000002</v>
      </c>
      <c r="H205" s="124">
        <f>0.03094</f>
        <v>3.0939999999999999E-2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48.145220000000002</v>
      </c>
      <c r="F207" s="190">
        <f>SUM(F204:F206)</f>
        <v>2204.0062300000004</v>
      </c>
      <c r="G207" s="190">
        <f>D207-F207</f>
        <v>41776.993770000001</v>
      </c>
      <c r="H207" s="190">
        <f>SUM(H204:H206)</f>
        <v>937.35588999999993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138</v>
      </c>
      <c r="F257" s="68" t="s">
        <v>139</v>
      </c>
      <c r="G257" s="68" t="s">
        <v>140</v>
      </c>
      <c r="H257" s="68" t="s">
        <v>141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0.67465</f>
        <v>0.67464999999999997</v>
      </c>
      <c r="F258" s="124">
        <f>25.9191</f>
        <v>25.9191</v>
      </c>
      <c r="G258" s="124">
        <f>D258-F258</f>
        <v>774.08090000000004</v>
      </c>
      <c r="H258" s="124">
        <f>22.55031</f>
        <v>22.55031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9.74705</f>
        <v>9.7470499999999998</v>
      </c>
      <c r="F259" s="124">
        <f>228.59285</f>
        <v>228.59285</v>
      </c>
      <c r="G259" s="124">
        <f>D259-F259</f>
        <v>2265.40715</v>
      </c>
      <c r="H259" s="124">
        <f>45.93378</f>
        <v>45.933779999999999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</f>
        <v>0</v>
      </c>
      <c r="G260" s="124">
        <f>D260-F260</f>
        <v>5</v>
      </c>
      <c r="H260" s="168">
        <f>0.243</f>
        <v>0.24299999999999999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</f>
        <v>0</v>
      </c>
      <c r="F261" s="168">
        <f>0</f>
        <v>0</v>
      </c>
      <c r="G261" s="124"/>
      <c r="H261" s="168">
        <f>0.02</f>
        <v>0.02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10.4217</v>
      </c>
      <c r="F262" s="190">
        <f>SUM(F258:F261)</f>
        <v>254.51195000000001</v>
      </c>
      <c r="G262" s="190">
        <f>D262-F262</f>
        <v>3044.4880499999999</v>
      </c>
      <c r="H262" s="190">
        <f>H258+H259+H260+H261</f>
        <v>68.747089999999986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138</v>
      </c>
      <c r="G287" s="221" t="s">
        <v>139</v>
      </c>
      <c r="H287" s="221" t="s">
        <v>140</v>
      </c>
      <c r="I287" s="221" t="s">
        <v>141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3.6926399999999999</v>
      </c>
      <c r="G288" s="251">
        <f t="shared" si="14"/>
        <v>184.55707999999998</v>
      </c>
      <c r="H288" s="251">
        <f>H292+H291+H290+H289</f>
        <v>15917.442920000001</v>
      </c>
      <c r="I288" s="251">
        <f t="shared" si="14"/>
        <v>211.71069999999997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0</f>
        <v>0</v>
      </c>
      <c r="H289" s="255">
        <f t="shared" ref="H289:H293" si="15">E289-G289</f>
        <v>8177</v>
      </c>
      <c r="I289" s="255">
        <f>112.0851</f>
        <v>112.0851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0</f>
        <v>0</v>
      </c>
      <c r="H290" s="255">
        <f t="shared" si="15"/>
        <v>2128</v>
      </c>
      <c r="I290" s="255">
        <f>0</f>
        <v>0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3.69264</f>
        <v>3.6926399999999999</v>
      </c>
      <c r="G291" s="255">
        <f>166.30128</f>
        <v>166.30127999999999</v>
      </c>
      <c r="H291" s="255">
        <f t="shared" si="15"/>
        <v>1190.6987200000001</v>
      </c>
      <c r="I291" s="255">
        <f>97.3664</f>
        <v>97.366399999999999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0</f>
        <v>0</v>
      </c>
      <c r="G292" s="255">
        <f>18.2558</f>
        <v>18.255800000000001</v>
      </c>
      <c r="H292" s="255">
        <f t="shared" si="15"/>
        <v>4421.7442000000001</v>
      </c>
      <c r="I292" s="255">
        <f>2.2592</f>
        <v>2.2591999999999999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0</f>
        <v>0</v>
      </c>
      <c r="G293" s="266">
        <f>17.834</f>
        <v>17.834</v>
      </c>
      <c r="H293" s="266">
        <f t="shared" si="15"/>
        <v>5482.1660000000002</v>
      </c>
      <c r="I293" s="266">
        <f>107.38102</f>
        <v>107.38102000000001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19.259409999999999</v>
      </c>
      <c r="G294" s="267">
        <f>G296+G295</f>
        <v>224.89152999999999</v>
      </c>
      <c r="H294" s="267">
        <f>E294-G294</f>
        <v>7775.1084700000001</v>
      </c>
      <c r="I294" s="267">
        <f>I296+I295</f>
        <v>145.76356000000001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0</f>
        <v>0</v>
      </c>
      <c r="H295" s="255"/>
      <c r="I295" s="255">
        <f>0</f>
        <v>0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19.25941</f>
        <v>19.259409999999999</v>
      </c>
      <c r="G296" s="276">
        <f>224.89153</f>
        <v>224.89152999999999</v>
      </c>
      <c r="H296" s="276"/>
      <c r="I296" s="276">
        <f>145.76356</f>
        <v>145.76356000000001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</f>
        <v>0</v>
      </c>
      <c r="H297" s="266">
        <f>E297-G297</f>
        <v>10</v>
      </c>
      <c r="I297" s="266">
        <f>0.0918</f>
        <v>9.1800000000000007E-2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0.027</f>
        <v>2.7E-2</v>
      </c>
      <c r="G298" s="266">
        <f>0.90496</f>
        <v>0.90495999999999999</v>
      </c>
      <c r="H298" s="266">
        <f>E298-G298</f>
        <v>-0.90495999999999999</v>
      </c>
      <c r="I298" s="266">
        <f>11.75213</f>
        <v>11.752129999999999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22.979050000000001</v>
      </c>
      <c r="G299" s="285">
        <f t="shared" si="16"/>
        <v>428.18756999999999</v>
      </c>
      <c r="H299" s="285">
        <f>H288+H293+H294+H297+H298</f>
        <v>29183.812430000002</v>
      </c>
      <c r="I299" s="285">
        <f t="shared" si="16"/>
        <v>476.69920999999999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138</v>
      </c>
      <c r="F320" s="20" t="s">
        <v>139</v>
      </c>
      <c r="G320" s="25" t="s">
        <v>140</v>
      </c>
      <c r="H320" s="20" t="s">
        <v>141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85.146569999999997</v>
      </c>
      <c r="F321" s="26">
        <f>F323+F322</f>
        <v>727.35341000000005</v>
      </c>
      <c r="G321" s="87">
        <f>D321-F321</f>
        <v>1513.6465899999998</v>
      </c>
      <c r="H321" s="26">
        <f>SUM(H322:H323)</f>
        <v>452.11306999999999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64.57387</f>
        <v>64.573869999999999</v>
      </c>
      <c r="F322" s="207">
        <f>623.23981</f>
        <v>623.23981000000003</v>
      </c>
      <c r="G322" s="208"/>
      <c r="H322" s="207">
        <f>384.69247</f>
        <v>384.69247000000001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20.5727</f>
        <v>20.572700000000001</v>
      </c>
      <c r="F323" s="210">
        <f>104.1136</f>
        <v>104.11360000000001</v>
      </c>
      <c r="G323" s="211"/>
      <c r="H323" s="210">
        <f>67.4206</f>
        <v>67.420599999999993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85.146569999999997</v>
      </c>
      <c r="F331" s="42">
        <f>F321+F324+F327+F330</f>
        <v>727.35341000000005</v>
      </c>
      <c r="G331" s="43">
        <f>SUM(G321:G330)</f>
        <v>2633.6465899999998</v>
      </c>
      <c r="H331" s="42">
        <f>H321+H324+H327+H330</f>
        <v>452.11306999999999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5&amp;R07.02.2023</oddHeader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2023-02-07T09:05:59Z</dcterms:modified>
</cp:coreProperties>
</file>