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Seksjon for fiskeriregulering - NY MAPPE\ameik\Ukesstatistikk\2022\22-44\"/>
    </mc:Choice>
  </mc:AlternateContent>
  <xr:revisionPtr revIDLastSave="0" documentId="13_ncr:1_{AEA475C3-5E41-40A4-877D-BCDE922ED4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_44_2022" sheetId="1" r:id="rId1"/>
  </sheets>
  <definedNames>
    <definedName name="Z_14D440E4_F18A_4F78_9989_38C1B133222D_.wvu.Cols" localSheetId="0" hidden="1">UKE_44_2022!#REF!</definedName>
    <definedName name="Z_14D440E4_F18A_4F78_9989_38C1B133222D_.wvu.PrintArea" localSheetId="0" hidden="1">UKE_44_2022!$B$1:$J$359</definedName>
    <definedName name="Z_14D440E4_F18A_4F78_9989_38C1B133222D_.wvu.Rows" localSheetId="0" hidden="1">UKE_44_2022!#REF!,UKE_44_2022!#REF!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8" i="1" l="1"/>
  <c r="H164" i="1"/>
  <c r="H161" i="1"/>
  <c r="I35" i="1"/>
  <c r="I34" i="1" s="1"/>
  <c r="G35" i="1"/>
  <c r="I31" i="1"/>
  <c r="I30" i="1"/>
  <c r="I29" i="1"/>
  <c r="I28" i="1"/>
  <c r="G31" i="1"/>
  <c r="G30" i="1"/>
  <c r="H30" i="1" s="1"/>
  <c r="G29" i="1"/>
  <c r="G28" i="1"/>
  <c r="H28" i="1" s="1"/>
  <c r="E56" i="1"/>
  <c r="F56" i="1"/>
  <c r="G56" i="1" s="1"/>
  <c r="D357" i="1"/>
  <c r="H355" i="1"/>
  <c r="F355" i="1"/>
  <c r="E355" i="1"/>
  <c r="H354" i="1"/>
  <c r="H353" i="1" s="1"/>
  <c r="F354" i="1"/>
  <c r="F353" i="1" s="1"/>
  <c r="G353" i="1" s="1"/>
  <c r="E354" i="1"/>
  <c r="E353" i="1" s="1"/>
  <c r="H352" i="1"/>
  <c r="F352" i="1"/>
  <c r="E352" i="1"/>
  <c r="H351" i="1"/>
  <c r="H350" i="1" s="1"/>
  <c r="F351" i="1"/>
  <c r="E351" i="1"/>
  <c r="F350" i="1"/>
  <c r="G350" i="1" s="1"/>
  <c r="E350" i="1"/>
  <c r="H349" i="1"/>
  <c r="F349" i="1"/>
  <c r="E349" i="1"/>
  <c r="E347" i="1" s="1"/>
  <c r="H348" i="1"/>
  <c r="F348" i="1"/>
  <c r="E348" i="1"/>
  <c r="H347" i="1"/>
  <c r="H357" i="1" s="1"/>
  <c r="F347" i="1"/>
  <c r="G347" i="1" s="1"/>
  <c r="E325" i="1"/>
  <c r="D325" i="1"/>
  <c r="I324" i="1"/>
  <c r="G324" i="1"/>
  <c r="H324" i="1" s="1"/>
  <c r="F324" i="1"/>
  <c r="I323" i="1"/>
  <c r="G323" i="1"/>
  <c r="H323" i="1" s="1"/>
  <c r="F323" i="1"/>
  <c r="I322" i="1"/>
  <c r="G322" i="1"/>
  <c r="F322" i="1"/>
  <c r="I321" i="1"/>
  <c r="G321" i="1"/>
  <c r="F321" i="1"/>
  <c r="I320" i="1"/>
  <c r="H320" i="1"/>
  <c r="G320" i="1"/>
  <c r="F320" i="1"/>
  <c r="I319" i="1"/>
  <c r="H319" i="1"/>
  <c r="G319" i="1"/>
  <c r="F319" i="1"/>
  <c r="I318" i="1"/>
  <c r="H318" i="1"/>
  <c r="G318" i="1"/>
  <c r="F318" i="1"/>
  <c r="I317" i="1"/>
  <c r="H317" i="1"/>
  <c r="G317" i="1"/>
  <c r="F317" i="1"/>
  <c r="I316" i="1"/>
  <c r="H316" i="1"/>
  <c r="G316" i="1"/>
  <c r="F316" i="1"/>
  <c r="I315" i="1"/>
  <c r="H315" i="1"/>
  <c r="G315" i="1"/>
  <c r="F315" i="1"/>
  <c r="I314" i="1"/>
  <c r="I325" i="1" s="1"/>
  <c r="H314" i="1"/>
  <c r="G314" i="1"/>
  <c r="G325" i="1" s="1"/>
  <c r="F314" i="1"/>
  <c r="F325" i="1" s="1"/>
  <c r="E314" i="1"/>
  <c r="D314" i="1"/>
  <c r="H306" i="1"/>
  <c r="F306" i="1"/>
  <c r="D288" i="1"/>
  <c r="H287" i="1"/>
  <c r="F287" i="1"/>
  <c r="E287" i="1"/>
  <c r="H286" i="1"/>
  <c r="H288" i="1" s="1"/>
  <c r="G286" i="1"/>
  <c r="F286" i="1"/>
  <c r="E286" i="1"/>
  <c r="H285" i="1"/>
  <c r="F285" i="1"/>
  <c r="E285" i="1"/>
  <c r="H284" i="1"/>
  <c r="G284" i="1"/>
  <c r="F284" i="1"/>
  <c r="F288" i="1" s="1"/>
  <c r="G288" i="1" s="1"/>
  <c r="E284" i="1"/>
  <c r="E288" i="1" s="1"/>
  <c r="D277" i="1"/>
  <c r="D233" i="1"/>
  <c r="G233" i="1" s="1"/>
  <c r="G232" i="1"/>
  <c r="H231" i="1"/>
  <c r="G231" i="1"/>
  <c r="F231" i="1"/>
  <c r="E231" i="1"/>
  <c r="H230" i="1"/>
  <c r="H233" i="1" s="1"/>
  <c r="F230" i="1"/>
  <c r="F233" i="1" s="1"/>
  <c r="E230" i="1"/>
  <c r="E233" i="1" s="1"/>
  <c r="D210" i="1"/>
  <c r="H208" i="1"/>
  <c r="F208" i="1"/>
  <c r="G208" i="1" s="1"/>
  <c r="E208" i="1"/>
  <c r="H207" i="1"/>
  <c r="F207" i="1"/>
  <c r="E207" i="1"/>
  <c r="H206" i="1"/>
  <c r="F206" i="1"/>
  <c r="E206" i="1"/>
  <c r="H205" i="1"/>
  <c r="H204" i="1" s="1"/>
  <c r="F205" i="1"/>
  <c r="F204" i="1" s="1"/>
  <c r="G204" i="1" s="1"/>
  <c r="E205" i="1"/>
  <c r="E204" i="1" s="1"/>
  <c r="H203" i="1"/>
  <c r="H210" i="1" s="1"/>
  <c r="G203" i="1"/>
  <c r="F203" i="1"/>
  <c r="E203" i="1"/>
  <c r="H202" i="1"/>
  <c r="F202" i="1"/>
  <c r="E202" i="1"/>
  <c r="H201" i="1"/>
  <c r="F201" i="1"/>
  <c r="G201" i="1" s="1"/>
  <c r="E201" i="1"/>
  <c r="H174" i="1"/>
  <c r="H173" i="1"/>
  <c r="H172" i="1"/>
  <c r="H171" i="1"/>
  <c r="F171" i="1"/>
  <c r="I170" i="1"/>
  <c r="H170" i="1"/>
  <c r="G170" i="1"/>
  <c r="F170" i="1"/>
  <c r="I169" i="1"/>
  <c r="G169" i="1"/>
  <c r="H169" i="1" s="1"/>
  <c r="F169" i="1"/>
  <c r="I168" i="1"/>
  <c r="H168" i="1"/>
  <c r="G168" i="1"/>
  <c r="F168" i="1"/>
  <c r="I167" i="1"/>
  <c r="G167" i="1"/>
  <c r="H167" i="1" s="1"/>
  <c r="H165" i="1" s="1"/>
  <c r="H166" i="1"/>
  <c r="E165" i="1"/>
  <c r="E159" i="1" s="1"/>
  <c r="D165" i="1"/>
  <c r="I164" i="1"/>
  <c r="F164" i="1"/>
  <c r="I163" i="1"/>
  <c r="H163" i="1"/>
  <c r="F163" i="1"/>
  <c r="I162" i="1"/>
  <c r="H162" i="1"/>
  <c r="F162" i="1"/>
  <c r="I161" i="1"/>
  <c r="F161" i="1"/>
  <c r="F160" i="1" s="1"/>
  <c r="F159" i="1" s="1"/>
  <c r="I160" i="1"/>
  <c r="E160" i="1"/>
  <c r="D160" i="1"/>
  <c r="D159" i="1" s="1"/>
  <c r="I159" i="1"/>
  <c r="I158" i="1"/>
  <c r="H158" i="1"/>
  <c r="F158" i="1"/>
  <c r="H157" i="1"/>
  <c r="I156" i="1"/>
  <c r="G156" i="1"/>
  <c r="H156" i="1" s="1"/>
  <c r="F156" i="1"/>
  <c r="I155" i="1"/>
  <c r="I154" i="1" s="1"/>
  <c r="I176" i="1" s="1"/>
  <c r="H155" i="1"/>
  <c r="H154" i="1" s="1"/>
  <c r="G155" i="1"/>
  <c r="G154" i="1" s="1"/>
  <c r="F155" i="1"/>
  <c r="F154" i="1" s="1"/>
  <c r="F176" i="1" s="1"/>
  <c r="E154" i="1"/>
  <c r="D154" i="1"/>
  <c r="C152" i="1"/>
  <c r="H132" i="1"/>
  <c r="H131" i="1"/>
  <c r="H129" i="1"/>
  <c r="F129" i="1"/>
  <c r="I128" i="1"/>
  <c r="G128" i="1"/>
  <c r="H128" i="1" s="1"/>
  <c r="F128" i="1"/>
  <c r="I127" i="1"/>
  <c r="H127" i="1"/>
  <c r="G127" i="1"/>
  <c r="F127" i="1"/>
  <c r="I126" i="1"/>
  <c r="G126" i="1"/>
  <c r="H126" i="1" s="1"/>
  <c r="F126" i="1"/>
  <c r="I125" i="1"/>
  <c r="H125" i="1"/>
  <c r="G125" i="1"/>
  <c r="F125" i="1"/>
  <c r="I124" i="1"/>
  <c r="G124" i="1"/>
  <c r="H124" i="1" s="1"/>
  <c r="F124" i="1"/>
  <c r="I123" i="1"/>
  <c r="H123" i="1"/>
  <c r="G123" i="1"/>
  <c r="F123" i="1"/>
  <c r="I122" i="1"/>
  <c r="G122" i="1"/>
  <c r="G121" i="1" s="1"/>
  <c r="G120" i="1" s="1"/>
  <c r="F122" i="1"/>
  <c r="F121" i="1" s="1"/>
  <c r="F120" i="1" s="1"/>
  <c r="I121" i="1"/>
  <c r="E121" i="1"/>
  <c r="D121" i="1"/>
  <c r="D120" i="1" s="1"/>
  <c r="D133" i="1" s="1"/>
  <c r="I120" i="1"/>
  <c r="E120" i="1"/>
  <c r="I119" i="1"/>
  <c r="G119" i="1"/>
  <c r="H119" i="1" s="1"/>
  <c r="H117" i="1" s="1"/>
  <c r="F119" i="1"/>
  <c r="I118" i="1"/>
  <c r="I117" i="1" s="1"/>
  <c r="I133" i="1" s="1"/>
  <c r="G118" i="1"/>
  <c r="H118" i="1" s="1"/>
  <c r="F118" i="1"/>
  <c r="F117" i="1"/>
  <c r="F133" i="1" s="1"/>
  <c r="E117" i="1"/>
  <c r="E133" i="1" s="1"/>
  <c r="D117" i="1"/>
  <c r="C114" i="1"/>
  <c r="H110" i="1"/>
  <c r="F110" i="1"/>
  <c r="D110" i="1"/>
  <c r="G62" i="1"/>
  <c r="G61" i="1"/>
  <c r="H56" i="1"/>
  <c r="I32" i="1" s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F35" i="1"/>
  <c r="E34" i="1"/>
  <c r="D34" i="1"/>
  <c r="D26" i="1" s="1"/>
  <c r="I33" i="1"/>
  <c r="H33" i="1"/>
  <c r="G33" i="1"/>
  <c r="F33" i="1"/>
  <c r="F32" i="1"/>
  <c r="H31" i="1"/>
  <c r="F31" i="1"/>
  <c r="F30" i="1"/>
  <c r="H29" i="1"/>
  <c r="F29" i="1"/>
  <c r="F28" i="1"/>
  <c r="F27" i="1" s="1"/>
  <c r="E27" i="1"/>
  <c r="E26" i="1" s="1"/>
  <c r="D27" i="1"/>
  <c r="I25" i="1"/>
  <c r="H25" i="1"/>
  <c r="G25" i="1"/>
  <c r="F25" i="1"/>
  <c r="I24" i="1"/>
  <c r="I23" i="1" s="1"/>
  <c r="H24" i="1"/>
  <c r="H23" i="1" s="1"/>
  <c r="G24" i="1"/>
  <c r="G23" i="1" s="1"/>
  <c r="F24" i="1"/>
  <c r="F23" i="1"/>
  <c r="E23" i="1"/>
  <c r="E45" i="1" s="1"/>
  <c r="D23" i="1"/>
  <c r="H16" i="1"/>
  <c r="F16" i="1"/>
  <c r="D16" i="1"/>
  <c r="H160" i="1" l="1"/>
  <c r="H159" i="1" s="1"/>
  <c r="H176" i="1" s="1"/>
  <c r="I27" i="1"/>
  <c r="I26" i="1" s="1"/>
  <c r="I45" i="1" s="1"/>
  <c r="G32" i="1"/>
  <c r="H32" i="1" s="1"/>
  <c r="H27" i="1" s="1"/>
  <c r="F34" i="1"/>
  <c r="F26" i="1" s="1"/>
  <c r="F45" i="1" s="1"/>
  <c r="G34" i="1"/>
  <c r="H34" i="1" s="1"/>
  <c r="H325" i="1"/>
  <c r="G357" i="1"/>
  <c r="E210" i="1"/>
  <c r="H133" i="1"/>
  <c r="D176" i="1"/>
  <c r="E357" i="1"/>
  <c r="D45" i="1"/>
  <c r="E176" i="1"/>
  <c r="G230" i="1"/>
  <c r="G117" i="1"/>
  <c r="G133" i="1" s="1"/>
  <c r="H35" i="1"/>
  <c r="H122" i="1"/>
  <c r="H121" i="1" s="1"/>
  <c r="H120" i="1" s="1"/>
  <c r="G160" i="1"/>
  <c r="G159" i="1" s="1"/>
  <c r="G176" i="1" s="1"/>
  <c r="F210" i="1"/>
  <c r="G210" i="1" s="1"/>
  <c r="F357" i="1"/>
  <c r="H26" i="1" l="1"/>
  <c r="H45" i="1" s="1"/>
  <c r="G27" i="1"/>
  <c r="G26" i="1" s="1"/>
  <c r="G45" i="1" s="1"/>
</calcChain>
</file>

<file path=xl/sharedStrings.xml><?xml version="1.0" encoding="utf-8"?>
<sst xmlns="http://schemas.openxmlformats.org/spreadsheetml/2006/main" count="333" uniqueCount="150">
  <si>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</si>
  <si>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</si>
  <si>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</si>
  <si>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</si>
  <si>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</si>
  <si>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</si>
  <si>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</si>
  <si>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</si>
  <si>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</si>
  <si>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</si>
  <si>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</si>
  <si>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</si>
  <si>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</si>
  <si>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</si>
  <si>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</si>
  <si>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</si>
  <si>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</si>
  <si>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</si>
  <si>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</si>
  <si>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</si>
  <si>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</si>
  <si>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</si>
  <si>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</si>
  <si>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</si>
  <si>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</si>
  <si>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</si>
  <si>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</si>
  <si>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</si>
  <si>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</si>
  <si>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</si>
  <si>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</si>
  <si>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</si>
  <si>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</si>
  <si>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</si>
  <si>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</si>
  <si>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</si>
  <si>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</si>
  <si>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</si>
  <si>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</si>
  <si>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</si>
  <si>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</si>
  <si>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</si>
  <si>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</si>
  <si>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</si>
  <si>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</si>
  <si>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</si>
  <si>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</si>
  <si>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</si>
  <si>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</si>
  <si>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</si>
  <si>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</si>
  <si>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</si>
  <si>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</si>
  <si>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</si>
  <si>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</si>
  <si>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</si>
  <si>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</si>
  <si>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</si>
  <si>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</si>
  <si>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</si>
  <si>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</si>
  <si>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</si>
  <si>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</si>
  <si>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</si>
  <si>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</si>
  <si>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</si>
  <si>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</si>
  <si>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</si>
  <si>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</si>
  <si>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</si>
  <si>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</si>
  <si>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</si>
  <si>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</si>
  <si>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</si>
  <si>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</si>
  <si>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</si>
  <si>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</si>
  <si>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</si>
  <si>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</si>
  <si>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</si>
  <si>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</si>
  <si>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</si>
  <si>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</si>
  <si>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</si>
  <si>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</si>
  <si>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</si>
  <si>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</si>
  <si>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</si>
  <si>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</si>
  <si>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</si>
  <si>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</si>
  <si>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</si>
  <si>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</si>
  <si>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</si>
  <si>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</si>
  <si>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</si>
  <si>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</si>
  <si>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</si>
  <si>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</si>
  <si>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</si>
  <si>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</si>
  <si>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</si>
  <si>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</si>
  <si>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</si>
  <si>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</si>
  <si>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</si>
  <si>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</si>
  <si>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</si>
  <si>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</si>
  <si>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</si>
  <si>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</si>
  <si>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</si>
  <si>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</si>
  <si>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</si>
  <si>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</si>
  <si>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</si>
  <si>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</si>
  <si>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</si>
  <si>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</si>
  <si>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</si>
  <si>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</si>
  <si>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</si>
  <si>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</si>
  <si>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</si>
  <si>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</si>
  <si>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</si>
  <si>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</si>
  <si>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</si>
  <si>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</si>
  <si>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</si>
  <si>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</si>
  <si>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</si>
  <si>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</si>
  <si>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</si>
  <si>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</si>
  <si>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</si>
  <si>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</si>
  <si>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</si>
  <si>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</si>
  <si>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</si>
  <si>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</si>
  <si>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</si>
  <si>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44</t>
  </si>
  <si>
    <t>FANGST T.O.M UKE 44</t>
  </si>
  <si>
    <t>RESTKVOTER UKE 44</t>
  </si>
  <si>
    <t>FANGST T.O.M UKE 44 2021</t>
  </si>
  <si>
    <r>
      <t xml:space="preserve">3 </t>
    </r>
    <r>
      <rPr>
        <sz val="9"/>
        <color indexed="8"/>
        <rFont val="Calibri"/>
        <family val="2"/>
      </rPr>
      <t>Registrert rekreasjonsfiske utgjør 792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</si>
  <si>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54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</si>
  <si>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500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</si>
  <si>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8 874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</si>
</sst>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i/>
      <sz val="10"/>
      <color theme="1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0" fontId="1" fillId="0" borderId="4" xfId="0" applyFont="1" applyBorder="1"/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44"/>
  <sheetViews>
    <sheetView showGridLines="0" tabSelected="1" showRuler="0" view="pageLayout" zoomScale="85" zoomScaleNormal="110" zoomScaleSheetLayoutView="100" zoomScalePageLayoutView="85" workbookViewId="0">
      <selection activeCell="I12" sqref="I12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0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298" t="s">
        <v>2</v>
      </c>
      <c r="D11" s="299"/>
      <c r="E11" s="298" t="s">
        <v>3</v>
      </c>
      <c r="F11" s="299"/>
      <c r="G11" s="298" t="s">
        <v>4</v>
      </c>
      <c r="H11" s="299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808.8075</v>
      </c>
      <c r="G23" s="28">
        <f t="shared" si="0"/>
        <v>82984.561380000014</v>
      </c>
      <c r="H23" s="11">
        <f t="shared" si="0"/>
        <v>29707.438619999994</v>
      </c>
      <c r="I23" s="11">
        <f t="shared" si="0"/>
        <v>81946.935020000004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808.3005</f>
        <v>808.30050000000006</v>
      </c>
      <c r="G24" s="23">
        <f>82401.35009</f>
        <v>82401.350090000007</v>
      </c>
      <c r="H24" s="23">
        <f>E24-G24</f>
        <v>29497.649909999993</v>
      </c>
      <c r="I24" s="23">
        <f>81466.60382</f>
        <v>81466.603820000004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0.507</f>
        <v>0.50700000000000001</v>
      </c>
      <c r="G25" s="23">
        <f>583.21129</f>
        <v>583.21128999999996</v>
      </c>
      <c r="H25" s="23">
        <f>E25-G25</f>
        <v>209.78871000000004</v>
      </c>
      <c r="I25" s="23">
        <f>480.3312</f>
        <v>480.33120000000002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1955.71335</v>
      </c>
      <c r="G26" s="11">
        <f t="shared" si="1"/>
        <v>219276.21854999999</v>
      </c>
      <c r="H26" s="11">
        <f t="shared" si="1"/>
        <v>38739.781449999995</v>
      </c>
      <c r="I26" s="11">
        <f t="shared" si="1"/>
        <v>227901.483901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1408.5140799999999</v>
      </c>
      <c r="G27" s="136">
        <f t="shared" si="2"/>
        <v>176416.27405000001</v>
      </c>
      <c r="H27" s="136">
        <f t="shared" si="2"/>
        <v>22505.72595</v>
      </c>
      <c r="I27" s="136">
        <f t="shared" si="2"/>
        <v>186375.21957099999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50598</v>
      </c>
      <c r="F28" s="207">
        <f>327.35376</f>
        <v>327.35376000000002</v>
      </c>
      <c r="G28" s="130">
        <f>44725.49458-F57</f>
        <v>43395.494579999999</v>
      </c>
      <c r="H28" s="130">
        <f t="shared" ref="H28:H40" si="3">E28-G28</f>
        <v>7202.5054200000013</v>
      </c>
      <c r="I28" s="130">
        <f>44750.49463-H57</f>
        <v>42901.494630000001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52093</v>
      </c>
      <c r="F29" s="130">
        <f>359.57721</f>
        <v>359.57720999999998</v>
      </c>
      <c r="G29" s="130">
        <f>50796.36336-F58</f>
        <v>47795.363360000003</v>
      </c>
      <c r="H29" s="130">
        <f t="shared" si="3"/>
        <v>4297.636639999997</v>
      </c>
      <c r="I29" s="130">
        <f>54641.9355-H58</f>
        <v>51390.9355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50736</v>
      </c>
      <c r="F30" s="130">
        <f>203.18342</f>
        <v>203.18342000000001</v>
      </c>
      <c r="G30" s="130">
        <f>46601.00401-F59</f>
        <v>44479.004009999997</v>
      </c>
      <c r="H30" s="130">
        <f t="shared" si="3"/>
        <v>6256.9959900000031</v>
      </c>
      <c r="I30" s="130">
        <f>48404.615599-H59</f>
        <v>44489.615598999997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33195</v>
      </c>
      <c r="F31" s="130">
        <f>37.39969</f>
        <v>37.39969</v>
      </c>
      <c r="G31" s="130">
        <f>34293.4121-F60</f>
        <v>33044.412100000001</v>
      </c>
      <c r="H31" s="130">
        <f t="shared" si="3"/>
        <v>150.58789999999863</v>
      </c>
      <c r="I31" s="130">
        <f>38578.173842-H60</f>
        <v>36715.173841999997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481</v>
      </c>
      <c r="G32" s="130">
        <f>F56</f>
        <v>7702</v>
      </c>
      <c r="H32" s="130">
        <f t="shared" si="3"/>
        <v>4598</v>
      </c>
      <c r="I32" s="130">
        <f>H56</f>
        <v>10878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31735</v>
      </c>
      <c r="F33" s="136">
        <f>453.0281</f>
        <v>453.02809999999999</v>
      </c>
      <c r="G33" s="136">
        <f>21620.70422</f>
        <v>21620.70422</v>
      </c>
      <c r="H33" s="136">
        <f t="shared" si="3"/>
        <v>10114.29578</v>
      </c>
      <c r="I33" s="136">
        <f>22962.64584</f>
        <v>22962.645840000001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F35+F36</f>
        <v>94.171170000000004</v>
      </c>
      <c r="G34" s="136">
        <f>G35+G36</f>
        <v>21239.240280000002</v>
      </c>
      <c r="H34" s="136">
        <f t="shared" si="3"/>
        <v>6119.7597199999982</v>
      </c>
      <c r="I34" s="136">
        <f>I35+I36</f>
        <v>18563.618490000001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25859</v>
      </c>
      <c r="F35" s="130">
        <f>94.17117</f>
        <v>94.171170000000004</v>
      </c>
      <c r="G35" s="71">
        <f>22922.24028-F61-F62</f>
        <v>20555.240280000002</v>
      </c>
      <c r="H35" s="130">
        <f t="shared" si="3"/>
        <v>5303.7597199999982</v>
      </c>
      <c r="I35" s="130">
        <f>21654.61849-H61-H62</f>
        <v>17434.618490000001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0</v>
      </c>
      <c r="G36" s="74">
        <f>F61</f>
        <v>684</v>
      </c>
      <c r="H36" s="74">
        <f t="shared" si="3"/>
        <v>816</v>
      </c>
      <c r="I36" s="74">
        <f>H61</f>
        <v>1129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16.8064</f>
        <v>16.8064</v>
      </c>
      <c r="G38" s="102">
        <f>506.02258</f>
        <v>506.02258</v>
      </c>
      <c r="H38" s="102">
        <f t="shared" si="3"/>
        <v>464.97742</v>
      </c>
      <c r="I38" s="102">
        <f>529.5182</f>
        <v>529.51819999999998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0</v>
      </c>
      <c r="G39" s="102">
        <f>F62</f>
        <v>1683</v>
      </c>
      <c r="H39" s="102">
        <f t="shared" si="3"/>
        <v>2144</v>
      </c>
      <c r="I39" s="102">
        <f>H62</f>
        <v>3091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3.73401</f>
        <v>3.7340100000000001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3066.44735</f>
        <v>3066.4473499999999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2785.0642600000001</v>
      </c>
      <c r="G45" s="80">
        <f t="shared" si="4"/>
        <v>311887.10446000006</v>
      </c>
      <c r="H45" s="80">
        <f t="shared" si="4"/>
        <v>73392.833539999949</v>
      </c>
      <c r="I45" s="80">
        <f t="shared" si="4"/>
        <v>324972.20114999992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146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300" t="s">
        <v>49</v>
      </c>
      <c r="D53" s="300"/>
      <c r="E53" s="300"/>
      <c r="F53" s="300"/>
      <c r="G53" s="300"/>
      <c r="H53" s="300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25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301">
        <v>12300</v>
      </c>
      <c r="E56" s="11">
        <f>E60+E59+E58+E57</f>
        <v>481</v>
      </c>
      <c r="F56" s="11">
        <f>F60+F59+F58+F57</f>
        <v>7702</v>
      </c>
      <c r="G56" s="301">
        <f>D56-F56</f>
        <v>4598</v>
      </c>
      <c r="H56" s="11">
        <f>H60+H59+H58+H57</f>
        <v>10878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302"/>
      <c r="E57" s="130">
        <v>169</v>
      </c>
      <c r="F57" s="130">
        <v>1330</v>
      </c>
      <c r="G57" s="302"/>
      <c r="H57" s="130">
        <v>1849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302"/>
      <c r="E58" s="130">
        <v>212</v>
      </c>
      <c r="F58" s="130">
        <v>3001</v>
      </c>
      <c r="G58" s="302"/>
      <c r="H58" s="130">
        <v>3251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302"/>
      <c r="E59" s="130">
        <v>56</v>
      </c>
      <c r="F59" s="130">
        <v>2122</v>
      </c>
      <c r="G59" s="302"/>
      <c r="H59" s="130">
        <v>3915</v>
      </c>
      <c r="I59" s="258"/>
      <c r="J59" s="244"/>
    </row>
    <row r="60" spans="1:10" ht="14.1" customHeight="1" x14ac:dyDescent="0.25">
      <c r="A60" s="101"/>
      <c r="B60" s="24"/>
      <c r="C60" s="91" t="s">
        <v>30</v>
      </c>
      <c r="D60" s="303"/>
      <c r="E60" s="196">
        <v>44</v>
      </c>
      <c r="F60" s="196">
        <v>1249</v>
      </c>
      <c r="G60" s="303"/>
      <c r="H60" s="196">
        <v>1863</v>
      </c>
      <c r="I60" s="258"/>
      <c r="J60" s="244"/>
    </row>
    <row r="61" spans="1:10" ht="14.1" customHeight="1" x14ac:dyDescent="0.25">
      <c r="A61" s="101"/>
      <c r="B61" s="24"/>
      <c r="C61" s="92" t="s">
        <v>52</v>
      </c>
      <c r="D61" s="98">
        <v>1500</v>
      </c>
      <c r="E61" s="98">
        <v>0</v>
      </c>
      <c r="F61" s="98">
        <v>684</v>
      </c>
      <c r="G61" s="98">
        <f>D61-F61</f>
        <v>816</v>
      </c>
      <c r="H61" s="98">
        <v>1129</v>
      </c>
      <c r="I61" s="258"/>
      <c r="J61" s="244"/>
    </row>
    <row r="62" spans="1:10" ht="14.1" customHeight="1" x14ac:dyDescent="0.25">
      <c r="A62" s="101"/>
      <c r="B62" s="24"/>
      <c r="C62" s="147" t="s">
        <v>53</v>
      </c>
      <c r="D62" s="143">
        <v>3827</v>
      </c>
      <c r="E62" s="143">
        <v>0</v>
      </c>
      <c r="F62" s="143">
        <v>1683</v>
      </c>
      <c r="G62" s="143">
        <f>D62-F62</f>
        <v>2144</v>
      </c>
      <c r="H62" s="143">
        <v>3091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ht="19.5" customHeight="1" x14ac:dyDescent="0.25">
      <c r="A67" s="1" t="s">
        <v>141</v>
      </c>
      <c r="B67" s="1"/>
      <c r="C67" s="101"/>
      <c r="D67" s="1"/>
      <c r="E67" s="1"/>
      <c r="F67" s="183"/>
      <c r="G67" s="1"/>
      <c r="H67" s="1"/>
      <c r="I67" s="1"/>
      <c r="J67" s="1"/>
    </row>
    <row r="68" spans="1:10" ht="0" hidden="1" customHeight="1" x14ac:dyDescent="0.25"/>
    <row r="69" spans="1:10" ht="0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25">
      <c r="B91" s="1"/>
      <c r="C91" s="288"/>
      <c r="D91" s="122"/>
      <c r="E91" s="122"/>
      <c r="F91" s="122"/>
      <c r="G91" s="122"/>
      <c r="H91" s="1"/>
      <c r="I91" s="1"/>
      <c r="J91" s="1"/>
    </row>
    <row r="92" spans="1:10" ht="17.100000000000001" customHeight="1" x14ac:dyDescent="0.25">
      <c r="B92" s="1" t="s">
        <v>141</v>
      </c>
      <c r="C92" s="288"/>
      <c r="D92" s="122"/>
      <c r="E92" s="122"/>
      <c r="F92" s="122"/>
      <c r="G92" s="122"/>
      <c r="H92" s="1"/>
      <c r="I92" s="1"/>
      <c r="J92" s="1"/>
    </row>
    <row r="96" spans="1:10" ht="58.5" customHeight="1" x14ac:dyDescent="0.25"/>
    <row r="98" spans="1:10" ht="57" customHeight="1" x14ac:dyDescent="0.25"/>
    <row r="103" spans="1:10" ht="17.100000000000001" customHeight="1" x14ac:dyDescent="0.25">
      <c r="B103" s="2"/>
      <c r="C103" s="219" t="s">
        <v>55</v>
      </c>
      <c r="D103" s="2"/>
      <c r="E103" s="2"/>
      <c r="F103" s="2"/>
      <c r="G103" s="2"/>
      <c r="H103" s="2"/>
      <c r="I103" s="2"/>
      <c r="J103" s="2"/>
    </row>
    <row r="104" spans="1:10" ht="3" customHeight="1" x14ac:dyDescent="0.25">
      <c r="B104" s="2"/>
      <c r="C104" s="219"/>
      <c r="D104" s="2"/>
      <c r="E104" s="2"/>
      <c r="F104" s="2"/>
      <c r="G104" s="2"/>
      <c r="H104" s="2"/>
      <c r="I104" s="2"/>
      <c r="J104" s="2"/>
    </row>
    <row r="105" spans="1:10" ht="14.1" customHeight="1" x14ac:dyDescent="0.25">
      <c r="B105" s="142"/>
      <c r="C105" s="159"/>
      <c r="D105" s="159"/>
      <c r="E105" s="159"/>
      <c r="F105" s="159"/>
      <c r="G105" s="159"/>
      <c r="H105" s="159"/>
      <c r="I105" s="159"/>
      <c r="J105" s="166"/>
    </row>
    <row r="106" spans="1:10" ht="16.5" customHeight="1" x14ac:dyDescent="0.25">
      <c r="B106" s="54"/>
      <c r="C106" s="298" t="s">
        <v>2</v>
      </c>
      <c r="D106" s="299"/>
      <c r="E106" s="298" t="s">
        <v>3</v>
      </c>
      <c r="F106" s="304"/>
      <c r="G106" s="298" t="s">
        <v>4</v>
      </c>
      <c r="H106" s="299"/>
      <c r="I106" s="183"/>
      <c r="J106" s="244"/>
    </row>
    <row r="107" spans="1:10" ht="15" customHeight="1" x14ac:dyDescent="0.25">
      <c r="B107" s="254"/>
      <c r="C107" s="118" t="s">
        <v>7</v>
      </c>
      <c r="D107" s="120">
        <v>88130</v>
      </c>
      <c r="E107" s="259" t="s">
        <v>5</v>
      </c>
      <c r="F107" s="117">
        <v>33472</v>
      </c>
      <c r="G107" s="195" t="s">
        <v>6</v>
      </c>
      <c r="H107" s="117">
        <v>9830</v>
      </c>
      <c r="I107" s="183"/>
      <c r="J107" s="244"/>
    </row>
    <row r="108" spans="1:10" ht="15" customHeight="1" x14ac:dyDescent="0.25">
      <c r="B108" s="254"/>
      <c r="C108" s="118" t="s">
        <v>10</v>
      </c>
      <c r="D108" s="120">
        <v>79130</v>
      </c>
      <c r="E108" s="248" t="s">
        <v>8</v>
      </c>
      <c r="F108" s="120">
        <v>54612</v>
      </c>
      <c r="G108" s="195" t="s">
        <v>9</v>
      </c>
      <c r="H108" s="120">
        <v>40413</v>
      </c>
      <c r="I108" s="183"/>
      <c r="J108" s="244"/>
    </row>
    <row r="109" spans="1:10" ht="14.1" customHeight="1" x14ac:dyDescent="0.25">
      <c r="B109" s="254"/>
      <c r="C109" s="118" t="s">
        <v>56</v>
      </c>
      <c r="D109" s="120">
        <v>11272</v>
      </c>
      <c r="E109" s="118" t="s">
        <v>11</v>
      </c>
      <c r="F109" s="120">
        <v>2617</v>
      </c>
      <c r="G109" s="195" t="s">
        <v>12</v>
      </c>
      <c r="H109" s="120">
        <v>4369</v>
      </c>
      <c r="I109" s="183"/>
      <c r="J109" s="244"/>
    </row>
    <row r="110" spans="1:10" ht="12" customHeight="1" x14ac:dyDescent="0.25">
      <c r="B110" s="254"/>
      <c r="C110" s="182" t="s">
        <v>57</v>
      </c>
      <c r="D110" s="194">
        <f>SUM(D107:D109)</f>
        <v>178532</v>
      </c>
      <c r="E110" s="182" t="s">
        <v>16</v>
      </c>
      <c r="F110" s="194">
        <f>SUM(F107:F109)</f>
        <v>90701</v>
      </c>
      <c r="G110" s="182" t="s">
        <v>8</v>
      </c>
      <c r="H110" s="194">
        <f>SUM(H107:H109)</f>
        <v>54612</v>
      </c>
      <c r="I110" s="183"/>
      <c r="J110" s="244"/>
    </row>
    <row r="111" spans="1:10" ht="14.25" customHeight="1" x14ac:dyDescent="0.25">
      <c r="A111" s="1"/>
      <c r="B111" s="254"/>
      <c r="C111" s="101" t="s">
        <v>58</v>
      </c>
      <c r="D111" s="220"/>
      <c r="E111" s="220"/>
      <c r="F111" s="220"/>
      <c r="G111" s="220"/>
      <c r="H111" s="220"/>
      <c r="I111" s="236"/>
      <c r="J111" s="123"/>
    </row>
    <row r="112" spans="1:10" ht="6" customHeight="1" x14ac:dyDescent="0.25">
      <c r="A112" s="1"/>
      <c r="B112" s="254"/>
      <c r="C112" s="99"/>
      <c r="D112" s="99"/>
      <c r="E112" s="99"/>
      <c r="F112" s="99"/>
      <c r="G112" s="99"/>
      <c r="H112" s="99"/>
      <c r="I112" s="236"/>
      <c r="J112" s="123"/>
    </row>
    <row r="113" spans="1:10" ht="14.1" customHeight="1" x14ac:dyDescent="0.25">
      <c r="A113" s="1"/>
      <c r="B113" s="135"/>
      <c r="C113" s="272"/>
      <c r="D113" s="114"/>
      <c r="E113" s="272"/>
      <c r="F113" s="272"/>
      <c r="G113" s="272"/>
      <c r="H113" s="272"/>
      <c r="I113" s="261"/>
      <c r="J113" s="188"/>
    </row>
    <row r="114" spans="1:10" ht="20.25" customHeight="1" x14ac:dyDescent="0.25">
      <c r="A114" s="1"/>
      <c r="B114" s="254"/>
      <c r="C114" s="18" t="str">
        <f>C20</f>
        <v>KVOTE- OG FANGSTOVERSIKT</v>
      </c>
      <c r="D114" s="99"/>
      <c r="E114" s="99"/>
      <c r="F114" s="99"/>
      <c r="G114" s="99"/>
      <c r="H114" s="99"/>
      <c r="I114" s="1"/>
      <c r="J114" s="123"/>
    </row>
    <row r="115" spans="1:10" ht="11.25" customHeight="1" x14ac:dyDescent="0.3">
      <c r="A115" s="1"/>
      <c r="B115" s="254"/>
      <c r="C115" s="290"/>
      <c r="D115" s="290"/>
      <c r="E115" s="290"/>
      <c r="F115" s="290"/>
      <c r="G115" s="290"/>
      <c r="H115" s="290"/>
      <c r="I115" s="290"/>
      <c r="J115" s="19"/>
    </row>
    <row r="116" spans="1:10" ht="54" customHeight="1" x14ac:dyDescent="0.25">
      <c r="A116" s="1"/>
      <c r="B116" s="254"/>
      <c r="C116" s="15" t="s">
        <v>19</v>
      </c>
      <c r="D116" s="113" t="s">
        <v>20</v>
      </c>
      <c r="E116" s="15" t="s">
        <v>59</v>
      </c>
      <c r="F116" s="15" t="s">
        <v>142</v>
      </c>
      <c r="G116" s="15" t="s">
        <v>143</v>
      </c>
      <c r="H116" s="15" t="s">
        <v>144</v>
      </c>
      <c r="I116" s="15" t="s">
        <v>145</v>
      </c>
      <c r="J116" s="123"/>
    </row>
    <row r="117" spans="1:10" ht="14.1" customHeight="1" x14ac:dyDescent="0.25">
      <c r="A117" s="1"/>
      <c r="B117" s="254"/>
      <c r="C117" s="32" t="s">
        <v>22</v>
      </c>
      <c r="D117" s="28">
        <f t="shared" ref="D117:I117" si="5">D119+D118</f>
        <v>33472</v>
      </c>
      <c r="E117" s="28">
        <f t="shared" si="5"/>
        <v>32686</v>
      </c>
      <c r="F117" s="11">
        <f t="shared" si="5"/>
        <v>50.531599999999997</v>
      </c>
      <c r="G117" s="11">
        <f t="shared" si="5"/>
        <v>36983.557510000006</v>
      </c>
      <c r="H117" s="11">
        <f t="shared" si="5"/>
        <v>-4297.5575100000024</v>
      </c>
      <c r="I117" s="11">
        <f t="shared" si="5"/>
        <v>44730.518060000002</v>
      </c>
      <c r="J117" s="244"/>
    </row>
    <row r="118" spans="1:10" ht="15" customHeight="1" x14ac:dyDescent="0.25">
      <c r="A118" s="1"/>
      <c r="B118" s="254"/>
      <c r="C118" s="47" t="s">
        <v>23</v>
      </c>
      <c r="D118" s="48">
        <v>32722</v>
      </c>
      <c r="E118" s="23">
        <v>31903</v>
      </c>
      <c r="F118" s="23">
        <f>48.4386</f>
        <v>48.438600000000001</v>
      </c>
      <c r="G118" s="23">
        <f>36245.4927</f>
        <v>36245.492700000003</v>
      </c>
      <c r="H118" s="23">
        <f>E118-G118</f>
        <v>-4342.4927000000025</v>
      </c>
      <c r="I118" s="23">
        <f>43953.20092</f>
        <v>43953.200920000003</v>
      </c>
      <c r="J118" s="244"/>
    </row>
    <row r="119" spans="1:10" ht="14.1" customHeight="1" x14ac:dyDescent="0.25">
      <c r="A119" s="1"/>
      <c r="B119" s="254"/>
      <c r="C119" s="66" t="s">
        <v>24</v>
      </c>
      <c r="D119" s="51">
        <v>750</v>
      </c>
      <c r="E119" s="52">
        <v>783</v>
      </c>
      <c r="F119" s="52">
        <f>2.093</f>
        <v>2.093</v>
      </c>
      <c r="G119" s="52">
        <f>738.06481</f>
        <v>738.06480999999997</v>
      </c>
      <c r="H119" s="52">
        <f>E119-G119</f>
        <v>44.935190000000034</v>
      </c>
      <c r="I119" s="52">
        <f>777.31714</f>
        <v>777.31713999999999</v>
      </c>
      <c r="J119" s="244"/>
    </row>
    <row r="120" spans="1:10" ht="15.75" customHeight="1" x14ac:dyDescent="0.25">
      <c r="A120" s="1"/>
      <c r="B120" s="54"/>
      <c r="C120" s="16" t="s">
        <v>25</v>
      </c>
      <c r="D120" s="28">
        <f t="shared" ref="D120:I120" si="6">D121+D126+D127</f>
        <v>56489</v>
      </c>
      <c r="E120" s="28">
        <f t="shared" si="6"/>
        <v>68210</v>
      </c>
      <c r="F120" s="11">
        <f t="shared" si="6"/>
        <v>594.68208000000004</v>
      </c>
      <c r="G120" s="11">
        <f t="shared" si="6"/>
        <v>38515.40000999999</v>
      </c>
      <c r="H120" s="11">
        <f t="shared" si="6"/>
        <v>29694.599990000002</v>
      </c>
      <c r="I120" s="11">
        <f t="shared" si="6"/>
        <v>41398.146430000001</v>
      </c>
      <c r="J120" s="244"/>
    </row>
    <row r="121" spans="1:10" ht="14.1" customHeight="1" x14ac:dyDescent="0.25">
      <c r="A121" s="1"/>
      <c r="B121" s="55"/>
      <c r="C121" s="59" t="s">
        <v>26</v>
      </c>
      <c r="D121" s="60">
        <f t="shared" ref="D121:I121" si="7">D122+D123+D124+D125</f>
        <v>42290</v>
      </c>
      <c r="E121" s="60">
        <f t="shared" si="7"/>
        <v>51009</v>
      </c>
      <c r="F121" s="136">
        <f t="shared" si="7"/>
        <v>427.66506000000004</v>
      </c>
      <c r="G121" s="136">
        <f t="shared" si="7"/>
        <v>29269.654539999996</v>
      </c>
      <c r="H121" s="136">
        <f t="shared" si="7"/>
        <v>21739.345460000004</v>
      </c>
      <c r="I121" s="136">
        <f t="shared" si="7"/>
        <v>33129.321909999999</v>
      </c>
      <c r="J121" s="244"/>
    </row>
    <row r="122" spans="1:10" ht="14.1" customHeight="1" x14ac:dyDescent="0.25">
      <c r="A122" s="202"/>
      <c r="B122" s="186"/>
      <c r="C122" s="64" t="s">
        <v>27</v>
      </c>
      <c r="D122" s="65">
        <v>11327</v>
      </c>
      <c r="E122" s="130">
        <v>13658</v>
      </c>
      <c r="F122" s="130">
        <f>152.30544</f>
        <v>152.30544</v>
      </c>
      <c r="G122" s="130">
        <f>3808.60698</f>
        <v>3808.60698</v>
      </c>
      <c r="H122" s="130">
        <f t="shared" ref="H122:H129" si="8">E122-G122</f>
        <v>9849.3930199999995</v>
      </c>
      <c r="I122" s="130">
        <f>4474.16179</f>
        <v>4474.1617900000001</v>
      </c>
      <c r="J122" s="244"/>
    </row>
    <row r="123" spans="1:10" ht="14.1" customHeight="1" x14ac:dyDescent="0.25">
      <c r="A123" s="202"/>
      <c r="B123" s="186"/>
      <c r="C123" s="64" t="s">
        <v>60</v>
      </c>
      <c r="D123" s="65">
        <v>12171</v>
      </c>
      <c r="E123" s="130">
        <v>14540</v>
      </c>
      <c r="F123" s="130">
        <f>172.47041</f>
        <v>172.47040999999999</v>
      </c>
      <c r="G123" s="130">
        <f>10098.87949</f>
        <v>10098.879489999999</v>
      </c>
      <c r="H123" s="130">
        <f t="shared" si="8"/>
        <v>4441.1205100000006</v>
      </c>
      <c r="I123" s="130">
        <f>10833.56861</f>
        <v>10833.56861</v>
      </c>
      <c r="J123" s="244"/>
    </row>
    <row r="124" spans="1:10" ht="14.1" customHeight="1" x14ac:dyDescent="0.25">
      <c r="A124" s="202"/>
      <c r="B124" s="186"/>
      <c r="C124" s="64" t="s">
        <v>61</v>
      </c>
      <c r="D124" s="65">
        <v>11356</v>
      </c>
      <c r="E124" s="130">
        <v>13798</v>
      </c>
      <c r="F124" s="130">
        <f>68.50078</f>
        <v>68.500780000000006</v>
      </c>
      <c r="G124" s="130">
        <f>7959.95083</f>
        <v>7959.9508299999998</v>
      </c>
      <c r="H124" s="130">
        <f t="shared" si="8"/>
        <v>5838.0491700000002</v>
      </c>
      <c r="I124" s="130">
        <f>11535.93427</f>
        <v>11535.93427</v>
      </c>
      <c r="J124" s="244"/>
    </row>
    <row r="125" spans="1:10" ht="14.1" customHeight="1" x14ac:dyDescent="0.25">
      <c r="A125" s="202"/>
      <c r="B125" s="186"/>
      <c r="C125" s="64" t="s">
        <v>30</v>
      </c>
      <c r="D125" s="65">
        <v>7436</v>
      </c>
      <c r="E125" s="130">
        <v>9013</v>
      </c>
      <c r="F125" s="130">
        <f>34.38843</f>
        <v>34.38843</v>
      </c>
      <c r="G125" s="130">
        <f>7402.21724</f>
        <v>7402.2172399999999</v>
      </c>
      <c r="H125" s="130">
        <f t="shared" si="8"/>
        <v>1610.7827600000001</v>
      </c>
      <c r="I125" s="130">
        <f>6285.65724</f>
        <v>6285.6572399999995</v>
      </c>
      <c r="J125" s="244"/>
    </row>
    <row r="126" spans="1:10" ht="14.1" customHeight="1" x14ac:dyDescent="0.25">
      <c r="A126" s="202"/>
      <c r="B126" s="186"/>
      <c r="C126" s="59" t="s">
        <v>62</v>
      </c>
      <c r="D126" s="60">
        <v>9830</v>
      </c>
      <c r="E126" s="136">
        <v>11908</v>
      </c>
      <c r="F126" s="136">
        <f>66.5154</f>
        <v>66.5154</v>
      </c>
      <c r="G126" s="136">
        <f>7040.19989</f>
        <v>7040.1998899999999</v>
      </c>
      <c r="H126" s="136">
        <f t="shared" si="8"/>
        <v>4867.8001100000001</v>
      </c>
      <c r="I126" s="136">
        <f>6418.78022</f>
        <v>6418.7802199999996</v>
      </c>
      <c r="J126" s="244"/>
    </row>
    <row r="127" spans="1:10" ht="15.75" customHeight="1" x14ac:dyDescent="0.25">
      <c r="A127" s="1"/>
      <c r="B127" s="55"/>
      <c r="C127" s="38" t="s">
        <v>12</v>
      </c>
      <c r="D127" s="63">
        <v>4369</v>
      </c>
      <c r="E127" s="78">
        <v>5293</v>
      </c>
      <c r="F127" s="78">
        <f>100.50162</f>
        <v>100.50162</v>
      </c>
      <c r="G127" s="78">
        <f>2205.54558</f>
        <v>2205.54558</v>
      </c>
      <c r="H127" s="78">
        <f t="shared" si="8"/>
        <v>3087.45442</v>
      </c>
      <c r="I127" s="78">
        <f>1850.0443</f>
        <v>1850.0443</v>
      </c>
      <c r="J127" s="244"/>
    </row>
    <row r="128" spans="1:10" ht="15.75" customHeight="1" x14ac:dyDescent="0.25">
      <c r="A128" s="1"/>
      <c r="B128" s="55"/>
      <c r="C128" s="76" t="s">
        <v>37</v>
      </c>
      <c r="D128" s="93">
        <v>390</v>
      </c>
      <c r="E128" s="102">
        <v>390</v>
      </c>
      <c r="F128" s="102">
        <f>0.528</f>
        <v>0.52800000000000002</v>
      </c>
      <c r="G128" s="102">
        <f>22.84978</f>
        <v>22.849779999999999</v>
      </c>
      <c r="H128" s="102">
        <f t="shared" si="8"/>
        <v>367.15021999999999</v>
      </c>
      <c r="I128" s="102">
        <f>35.49103</f>
        <v>35.491030000000002</v>
      </c>
      <c r="J128" s="244"/>
    </row>
    <row r="129" spans="1:10" ht="18" customHeight="1" x14ac:dyDescent="0.25">
      <c r="A129" s="1"/>
      <c r="B129" s="254"/>
      <c r="C129" s="76" t="s">
        <v>63</v>
      </c>
      <c r="D129" s="148">
        <v>300</v>
      </c>
      <c r="E129" s="143">
        <v>300</v>
      </c>
      <c r="F129" s="143">
        <f>0.58374</f>
        <v>0.58374000000000004</v>
      </c>
      <c r="G129" s="143">
        <v>300</v>
      </c>
      <c r="H129" s="143">
        <f t="shared" si="8"/>
        <v>0</v>
      </c>
      <c r="I129" s="143">
        <v>300</v>
      </c>
      <c r="J129" s="244"/>
    </row>
    <row r="130" spans="1:10" ht="15.75" customHeight="1" x14ac:dyDescent="0.25">
      <c r="A130" s="1"/>
      <c r="B130" s="254"/>
      <c r="C130" s="96" t="s">
        <v>40</v>
      </c>
      <c r="D130" s="148"/>
      <c r="E130" s="143"/>
      <c r="F130" s="143">
        <v>0</v>
      </c>
      <c r="G130" s="143">
        <v>0</v>
      </c>
      <c r="H130" s="143"/>
      <c r="I130" s="143">
        <v>100.9092</v>
      </c>
      <c r="J130" s="244"/>
    </row>
    <row r="131" spans="1:10" ht="16.5" customHeight="1" x14ac:dyDescent="0.25">
      <c r="A131" s="1"/>
      <c r="B131" s="254"/>
      <c r="C131" s="96" t="s">
        <v>41</v>
      </c>
      <c r="D131" s="148">
        <v>50</v>
      </c>
      <c r="E131" s="143">
        <v>50</v>
      </c>
      <c r="F131" s="143"/>
      <c r="G131" s="143"/>
      <c r="H131" s="143">
        <f>E131-G131</f>
        <v>50</v>
      </c>
      <c r="I131" s="143"/>
      <c r="J131" s="244"/>
    </row>
    <row r="132" spans="1:10" ht="18" customHeight="1" x14ac:dyDescent="0.25">
      <c r="A132" s="1"/>
      <c r="B132" s="254"/>
      <c r="C132" s="96" t="s">
        <v>64</v>
      </c>
      <c r="D132" s="148"/>
      <c r="E132" s="143"/>
      <c r="F132" s="143">
        <v>0</v>
      </c>
      <c r="G132" s="143">
        <v>8.7677999999868916</v>
      </c>
      <c r="H132" s="143">
        <f>E132-G132</f>
        <v>-8.7677999999868916</v>
      </c>
      <c r="I132" s="143">
        <v>43.734779999998864</v>
      </c>
      <c r="J132" s="244"/>
    </row>
    <row r="133" spans="1:10" ht="16.5" customHeight="1" x14ac:dyDescent="0.25">
      <c r="A133" s="1"/>
      <c r="B133" s="254"/>
      <c r="C133" s="77" t="s">
        <v>44</v>
      </c>
      <c r="D133" s="80">
        <f>D117+D120+D128+D129+D130+D131+D132</f>
        <v>90701</v>
      </c>
      <c r="E133" s="80">
        <f>E117+E120+E128+E129+E130+E131+E132</f>
        <v>101636</v>
      </c>
      <c r="F133" s="80">
        <f t="shared" ref="F133:G133" si="9">F117+F120+F128+F129+F130+F131+F132</f>
        <v>646.32542000000012</v>
      </c>
      <c r="G133" s="80">
        <f t="shared" si="9"/>
        <v>75830.575099999987</v>
      </c>
      <c r="H133" s="80">
        <f>H117+H120+H128+H129+H130+H131+H132</f>
        <v>25805.424900000013</v>
      </c>
      <c r="I133" s="80">
        <f>I117+I120+I128+I129+I130+I131+I132</f>
        <v>86608.799499999994</v>
      </c>
      <c r="J133" s="244"/>
    </row>
    <row r="134" spans="1:10" ht="13.5" customHeight="1" x14ac:dyDescent="0.25">
      <c r="A134" s="1"/>
      <c r="B134" s="254"/>
      <c r="C134" s="81" t="s">
        <v>65</v>
      </c>
      <c r="D134" s="104"/>
      <c r="E134" s="104"/>
      <c r="F134" s="105"/>
      <c r="G134" s="105"/>
      <c r="H134" s="107"/>
      <c r="I134" s="228"/>
      <c r="J134" s="244"/>
    </row>
    <row r="135" spans="1:10" ht="13.5" customHeight="1" x14ac:dyDescent="0.25">
      <c r="A135" s="1"/>
      <c r="B135" s="24"/>
      <c r="C135" s="165" t="s">
        <v>147</v>
      </c>
      <c r="D135" s="258"/>
      <c r="E135" s="258"/>
      <c r="F135" s="83"/>
      <c r="G135" s="83"/>
      <c r="H135" s="228"/>
      <c r="I135" s="228"/>
      <c r="J135" s="108"/>
    </row>
    <row r="136" spans="1:10" ht="15" customHeight="1" x14ac:dyDescent="0.25">
      <c r="A136" s="1"/>
      <c r="B136" s="24"/>
      <c r="C136" s="165" t="s">
        <v>66</v>
      </c>
      <c r="D136" s="258"/>
      <c r="E136" s="258"/>
      <c r="F136" s="83"/>
      <c r="G136" s="83"/>
      <c r="H136" s="228"/>
      <c r="I136" s="228"/>
      <c r="J136" s="108"/>
    </row>
    <row r="137" spans="1:10" ht="15" customHeight="1" x14ac:dyDescent="0.25">
      <c r="A137" s="1"/>
      <c r="B137" s="24"/>
      <c r="C137" s="228" t="s">
        <v>67</v>
      </c>
      <c r="D137" s="258"/>
      <c r="E137" s="258"/>
      <c r="F137" s="83"/>
      <c r="G137" s="83"/>
      <c r="H137" s="228"/>
      <c r="I137" s="228"/>
      <c r="J137" s="108"/>
    </row>
    <row r="138" spans="1:10" ht="12" customHeight="1" x14ac:dyDescent="0.25">
      <c r="A138" s="1"/>
      <c r="B138" s="95"/>
      <c r="C138" s="110"/>
      <c r="D138" s="115"/>
      <c r="E138" s="115"/>
      <c r="F138" s="115"/>
      <c r="G138" s="115"/>
      <c r="H138" s="115"/>
      <c r="I138" s="201"/>
      <c r="J138" s="116"/>
    </row>
    <row r="139" spans="1:10" ht="12" customHeight="1" x14ac:dyDescent="0.25">
      <c r="A139" s="1"/>
      <c r="B139" s="101"/>
      <c r="C139" s="1" t="s">
        <v>141</v>
      </c>
      <c r="D139" s="228"/>
      <c r="E139" s="228"/>
      <c r="F139" s="228"/>
      <c r="G139" s="228"/>
      <c r="H139" s="228"/>
      <c r="I139" s="101"/>
      <c r="J139" s="101" t="s">
        <v>141</v>
      </c>
    </row>
    <row r="140" spans="1:10" ht="14.25" customHeight="1" x14ac:dyDescent="0.25">
      <c r="A140" s="1"/>
      <c r="B140" s="101"/>
      <c r="C140" s="101" t="s">
        <v>141</v>
      </c>
      <c r="D140" s="101" t="s">
        <v>141</v>
      </c>
      <c r="E140" s="101"/>
      <c r="F140" s="101"/>
      <c r="G140" s="101"/>
      <c r="H140" s="101"/>
      <c r="I140" s="101"/>
      <c r="J140" s="101" t="s">
        <v>141</v>
      </c>
    </row>
    <row r="141" spans="1:10" ht="17.100000000000001" customHeight="1" x14ac:dyDescent="0.25">
      <c r="A141" s="218"/>
      <c r="B141" s="218"/>
      <c r="C141" s="219" t="s">
        <v>68</v>
      </c>
      <c r="D141" s="218"/>
      <c r="E141" s="218"/>
      <c r="F141" s="218"/>
      <c r="G141" s="218"/>
      <c r="H141" s="218"/>
      <c r="I141" s="218"/>
      <c r="J141" s="218"/>
    </row>
    <row r="142" spans="1:10" ht="3" customHeight="1" x14ac:dyDescent="0.25">
      <c r="A142" s="218"/>
      <c r="B142" s="218"/>
      <c r="C142" s="219"/>
      <c r="D142" s="218"/>
      <c r="E142" s="218"/>
      <c r="F142" s="218"/>
      <c r="G142" s="218"/>
      <c r="H142" s="218"/>
      <c r="I142" s="218"/>
      <c r="J142" s="218"/>
    </row>
    <row r="143" spans="1:10" ht="14.1" customHeight="1" x14ac:dyDescent="0.25">
      <c r="A143" s="1"/>
      <c r="B143" s="142"/>
      <c r="C143" s="159"/>
      <c r="D143" s="159"/>
      <c r="E143" s="159"/>
      <c r="F143" s="159"/>
      <c r="G143" s="159"/>
      <c r="H143" s="159"/>
      <c r="I143" s="159"/>
      <c r="J143" s="166"/>
    </row>
    <row r="144" spans="1:10" ht="15" customHeight="1" x14ac:dyDescent="0.25">
      <c r="A144" s="1"/>
      <c r="B144" s="54"/>
      <c r="C144" s="153" t="s">
        <v>2</v>
      </c>
      <c r="D144" s="189"/>
      <c r="E144" s="153" t="s">
        <v>3</v>
      </c>
      <c r="F144" s="189"/>
      <c r="G144" s="153" t="s">
        <v>4</v>
      </c>
      <c r="H144" s="189"/>
      <c r="I144" s="183"/>
      <c r="J144" s="244"/>
    </row>
    <row r="145" spans="1:10" ht="14.1" customHeight="1" x14ac:dyDescent="0.25">
      <c r="A145" s="1"/>
      <c r="B145" s="254"/>
      <c r="C145" s="118" t="s">
        <v>7</v>
      </c>
      <c r="D145" s="120">
        <v>182657</v>
      </c>
      <c r="E145" s="103" t="s">
        <v>5</v>
      </c>
      <c r="F145" s="117">
        <v>66192</v>
      </c>
      <c r="G145" s="118" t="s">
        <v>6</v>
      </c>
      <c r="H145" s="117">
        <v>7478</v>
      </c>
      <c r="I145" s="183"/>
      <c r="J145" s="244"/>
    </row>
    <row r="146" spans="1:10" ht="14.1" customHeight="1" x14ac:dyDescent="0.25">
      <c r="A146" s="1"/>
      <c r="B146" s="254"/>
      <c r="C146" s="118" t="s">
        <v>10</v>
      </c>
      <c r="D146" s="120">
        <v>12705</v>
      </c>
      <c r="E146" s="118" t="s">
        <v>8</v>
      </c>
      <c r="F146" s="120">
        <v>67980</v>
      </c>
      <c r="G146" s="118" t="s">
        <v>9</v>
      </c>
      <c r="H146" s="120">
        <v>50985</v>
      </c>
      <c r="I146" s="183"/>
      <c r="J146" s="244"/>
    </row>
    <row r="147" spans="1:10" ht="14.1" customHeight="1" x14ac:dyDescent="0.25">
      <c r="A147" s="1"/>
      <c r="B147" s="254"/>
      <c r="C147" s="248" t="s">
        <v>69</v>
      </c>
      <c r="D147" s="120">
        <v>1850</v>
      </c>
      <c r="E147" s="118" t="s">
        <v>70</v>
      </c>
      <c r="F147" s="120">
        <v>44724</v>
      </c>
      <c r="G147" s="118" t="s">
        <v>12</v>
      </c>
      <c r="H147" s="120">
        <v>9517</v>
      </c>
      <c r="I147" s="183"/>
      <c r="J147" s="244"/>
    </row>
    <row r="148" spans="1:10" ht="14.1" customHeight="1" x14ac:dyDescent="0.25">
      <c r="A148" s="1"/>
      <c r="B148" s="158"/>
      <c r="C148" s="170"/>
      <c r="D148" s="195"/>
      <c r="E148" s="195" t="s">
        <v>71</v>
      </c>
      <c r="F148" s="120">
        <v>3761</v>
      </c>
      <c r="G148" s="118"/>
      <c r="H148" s="170"/>
      <c r="I148" s="183"/>
      <c r="J148" s="244"/>
    </row>
    <row r="149" spans="1:10" ht="12" customHeight="1" x14ac:dyDescent="0.25">
      <c r="A149" s="1"/>
      <c r="B149" s="254"/>
      <c r="C149" s="182" t="s">
        <v>57</v>
      </c>
      <c r="D149" s="194">
        <v>197212</v>
      </c>
      <c r="E149" s="112" t="s">
        <v>16</v>
      </c>
      <c r="F149" s="194">
        <v>182657</v>
      </c>
      <c r="G149" s="182" t="s">
        <v>8</v>
      </c>
      <c r="H149" s="35">
        <v>67980</v>
      </c>
      <c r="I149" s="183"/>
      <c r="J149" s="244"/>
    </row>
    <row r="150" spans="1:10" ht="12" customHeight="1" x14ac:dyDescent="0.25">
      <c r="A150" s="101"/>
      <c r="B150" s="24"/>
      <c r="C150" s="101" t="s">
        <v>72</v>
      </c>
      <c r="D150" s="101"/>
      <c r="E150" s="101"/>
      <c r="F150" s="101"/>
      <c r="G150" s="101"/>
      <c r="H150" s="101"/>
      <c r="I150" s="101"/>
      <c r="J150" s="157"/>
    </row>
    <row r="151" spans="1:10" ht="17.100000000000001" customHeight="1" x14ac:dyDescent="0.25">
      <c r="A151" s="1"/>
      <c r="B151" s="241"/>
      <c r="C151" s="272"/>
      <c r="D151" s="272"/>
      <c r="E151" s="233"/>
      <c r="F151" s="233"/>
      <c r="G151" s="233"/>
      <c r="H151" s="233"/>
      <c r="I151" s="233"/>
      <c r="J151" s="245"/>
    </row>
    <row r="152" spans="1:10" ht="25.5" customHeight="1" x14ac:dyDescent="0.25">
      <c r="A152" s="1"/>
      <c r="B152" s="254"/>
      <c r="C152" s="18" t="str">
        <f>C20</f>
        <v>KVOTE- OG FANGSTOVERSIKT</v>
      </c>
      <c r="D152" s="1"/>
      <c r="E152" s="1"/>
      <c r="F152" s="1"/>
      <c r="G152" s="1"/>
      <c r="H152" s="1"/>
      <c r="I152" s="1"/>
      <c r="J152" s="123"/>
    </row>
    <row r="153" spans="1:10" ht="53.25" customHeight="1" x14ac:dyDescent="0.25">
      <c r="A153" s="161"/>
      <c r="B153" s="54"/>
      <c r="C153" s="264" t="s">
        <v>19</v>
      </c>
      <c r="D153" s="15" t="s">
        <v>20</v>
      </c>
      <c r="E153" s="15" t="s">
        <v>73</v>
      </c>
      <c r="F153" s="15" t="s">
        <v>142</v>
      </c>
      <c r="G153" s="15" t="s">
        <v>143</v>
      </c>
      <c r="H153" s="15" t="s">
        <v>144</v>
      </c>
      <c r="I153" s="15" t="s">
        <v>145</v>
      </c>
      <c r="J153" s="280"/>
    </row>
    <row r="154" spans="1:10" ht="14.1" customHeight="1" x14ac:dyDescent="0.25">
      <c r="A154" s="1"/>
      <c r="B154" s="254"/>
      <c r="C154" s="16" t="s">
        <v>74</v>
      </c>
      <c r="D154" s="28">
        <f t="shared" ref="D154:I154" si="10">D155+D156+D157</f>
        <v>66192</v>
      </c>
      <c r="E154" s="28">
        <f t="shared" si="10"/>
        <v>62183</v>
      </c>
      <c r="F154" s="11">
        <f t="shared" si="10"/>
        <v>405.37125000000003</v>
      </c>
      <c r="G154" s="11">
        <f t="shared" si="10"/>
        <v>57503.84562</v>
      </c>
      <c r="H154" s="11">
        <f t="shared" si="10"/>
        <v>4679.1543799999999</v>
      </c>
      <c r="I154" s="11">
        <f t="shared" si="10"/>
        <v>54969.846790000003</v>
      </c>
      <c r="J154" s="244"/>
    </row>
    <row r="155" spans="1:10" ht="14.1" customHeight="1" x14ac:dyDescent="0.25">
      <c r="A155" s="1"/>
      <c r="B155" s="254"/>
      <c r="C155" s="47" t="s">
        <v>23</v>
      </c>
      <c r="D155" s="48">
        <v>52954</v>
      </c>
      <c r="E155" s="48">
        <v>49665</v>
      </c>
      <c r="F155" s="23">
        <f>144.99675</f>
        <v>144.99674999999999</v>
      </c>
      <c r="G155" s="23">
        <f>48794.60411</f>
        <v>48794.60411</v>
      </c>
      <c r="H155" s="23">
        <f>E155-G155</f>
        <v>870.39588999999978</v>
      </c>
      <c r="I155" s="23">
        <f>47972.69352</f>
        <v>47972.693520000001</v>
      </c>
      <c r="J155" s="244"/>
    </row>
    <row r="156" spans="1:10" ht="15" customHeight="1" x14ac:dyDescent="0.25">
      <c r="A156" s="1"/>
      <c r="B156" s="254"/>
      <c r="C156" s="47" t="s">
        <v>24</v>
      </c>
      <c r="D156" s="48">
        <v>12738</v>
      </c>
      <c r="E156" s="48">
        <v>12018</v>
      </c>
      <c r="F156" s="23">
        <f>260.3745</f>
        <v>260.37450000000001</v>
      </c>
      <c r="G156" s="23">
        <f>8709.24151</f>
        <v>8709.2415099999998</v>
      </c>
      <c r="H156" s="23">
        <f>E156-G156</f>
        <v>3308.7584900000002</v>
      </c>
      <c r="I156" s="23">
        <f>6997.15327</f>
        <v>6997.1532699999998</v>
      </c>
      <c r="J156" s="244"/>
    </row>
    <row r="157" spans="1:10" ht="13.5" customHeight="1" x14ac:dyDescent="0.25">
      <c r="A157" s="1"/>
      <c r="B157" s="254"/>
      <c r="C157" s="50" t="s">
        <v>75</v>
      </c>
      <c r="D157" s="33">
        <v>500</v>
      </c>
      <c r="E157" s="33">
        <v>500</v>
      </c>
      <c r="F157" s="58"/>
      <c r="G157" s="58"/>
      <c r="H157" s="58">
        <f>E157-G157</f>
        <v>500</v>
      </c>
      <c r="I157" s="58"/>
      <c r="J157" s="244"/>
    </row>
    <row r="158" spans="1:10" ht="14.25" customHeight="1" x14ac:dyDescent="0.25">
      <c r="A158" s="70"/>
      <c r="B158" s="82"/>
      <c r="C158" s="92" t="s">
        <v>76</v>
      </c>
      <c r="D158" s="94">
        <v>44724</v>
      </c>
      <c r="E158" s="94">
        <v>49007</v>
      </c>
      <c r="F158" s="98">
        <f>13.85</f>
        <v>13.85</v>
      </c>
      <c r="G158" s="98">
        <f>39022.38148+8874.48695</f>
        <v>47896.868429999995</v>
      </c>
      <c r="H158" s="98">
        <f>E158-G158</f>
        <v>1110.131570000005</v>
      </c>
      <c r="I158" s="98">
        <f>29700.61407</f>
        <v>29700.61407</v>
      </c>
      <c r="J158" s="119"/>
    </row>
    <row r="159" spans="1:10" ht="15.75" customHeight="1" x14ac:dyDescent="0.25">
      <c r="A159" s="1"/>
      <c r="B159" s="254"/>
      <c r="C159" s="147" t="s">
        <v>25</v>
      </c>
      <c r="D159" s="148">
        <f>D160+D165+D168</f>
        <v>69292</v>
      </c>
      <c r="E159" s="148">
        <f>E160+E165+E168</f>
        <v>69774</v>
      </c>
      <c r="F159" s="97">
        <f>F160+F165+F168</f>
        <v>1394.3954699999999</v>
      </c>
      <c r="G159" s="97">
        <f t="shared" ref="G159" si="11">G160+G165+G168</f>
        <v>58823.217169999989</v>
      </c>
      <c r="H159" s="97">
        <f>H160+H165+H168</f>
        <v>10950.78283</v>
      </c>
      <c r="I159" s="97">
        <f>I160+I165+I168</f>
        <v>62796.32845999999</v>
      </c>
      <c r="J159" s="123"/>
    </row>
    <row r="160" spans="1:10" ht="14.1" customHeight="1" x14ac:dyDescent="0.25">
      <c r="A160" s="1"/>
      <c r="B160" s="54"/>
      <c r="C160" s="125" t="s">
        <v>77</v>
      </c>
      <c r="D160" s="126">
        <f>D161+D162+D163+D164</f>
        <v>52297</v>
      </c>
      <c r="E160" s="126">
        <f>E161+E162+E163+E164</f>
        <v>51985</v>
      </c>
      <c r="F160" s="128">
        <f>F161+F162+F163+F164</f>
        <v>1085.8536899999999</v>
      </c>
      <c r="G160" s="128">
        <f>G161+G162+G164+G163</f>
        <v>44966.128229999995</v>
      </c>
      <c r="H160" s="128">
        <f>H161+H162+H163+H164</f>
        <v>7018.8717700000016</v>
      </c>
      <c r="I160" s="128">
        <f>I161+I162+I163+I164</f>
        <v>49668.404729999995</v>
      </c>
      <c r="J160" s="280"/>
    </row>
    <row r="161" spans="1:10" ht="14.1" customHeight="1" x14ac:dyDescent="0.25">
      <c r="A161" s="202"/>
      <c r="B161" s="129"/>
      <c r="C161" s="64" t="s">
        <v>27</v>
      </c>
      <c r="D161" s="65">
        <v>13881</v>
      </c>
      <c r="E161" s="65">
        <v>15307</v>
      </c>
      <c r="F161" s="130">
        <f>386.54043</f>
        <v>386.54043000000001</v>
      </c>
      <c r="G161" s="130">
        <v>9318.8068899999998</v>
      </c>
      <c r="H161" s="130">
        <f>E161-G161</f>
        <v>5988.1931100000002</v>
      </c>
      <c r="I161" s="130">
        <f>9442.4651</f>
        <v>9442.4650999999994</v>
      </c>
      <c r="J161" s="131"/>
    </row>
    <row r="162" spans="1:10" ht="14.1" customHeight="1" x14ac:dyDescent="0.25">
      <c r="A162" s="202"/>
      <c r="B162" s="186"/>
      <c r="C162" s="64" t="s">
        <v>60</v>
      </c>
      <c r="D162" s="65">
        <v>14224</v>
      </c>
      <c r="E162" s="65">
        <v>12859</v>
      </c>
      <c r="F162" s="130">
        <f>315.0865</f>
        <v>315.0865</v>
      </c>
      <c r="G162" s="130">
        <v>12844.457559999999</v>
      </c>
      <c r="H162" s="130">
        <f>E162-G162</f>
        <v>14.542440000001079</v>
      </c>
      <c r="I162" s="130">
        <f>12396.42327</f>
        <v>12396.423269999999</v>
      </c>
      <c r="J162" s="132"/>
    </row>
    <row r="163" spans="1:10" ht="14.1" customHeight="1" x14ac:dyDescent="0.25">
      <c r="A163" s="202"/>
      <c r="B163" s="186"/>
      <c r="C163" s="64" t="s">
        <v>61</v>
      </c>
      <c r="D163" s="65">
        <v>12986</v>
      </c>
      <c r="E163" s="65">
        <v>13695</v>
      </c>
      <c r="F163" s="130">
        <f>171.34196</f>
        <v>171.34196</v>
      </c>
      <c r="G163" s="130">
        <v>11235.16065</v>
      </c>
      <c r="H163" s="130">
        <f>E163-G163</f>
        <v>2459.8393500000002</v>
      </c>
      <c r="I163" s="130">
        <f>13313.0655</f>
        <v>13313.065500000001</v>
      </c>
      <c r="J163" s="132"/>
    </row>
    <row r="164" spans="1:10" ht="14.1" customHeight="1" x14ac:dyDescent="0.25">
      <c r="A164" s="202"/>
      <c r="B164" s="186"/>
      <c r="C164" s="64" t="s">
        <v>30</v>
      </c>
      <c r="D164" s="65">
        <v>11206</v>
      </c>
      <c r="E164" s="65">
        <v>10124</v>
      </c>
      <c r="F164" s="130">
        <f>212.8848</f>
        <v>212.88480000000001</v>
      </c>
      <c r="G164" s="130">
        <v>11567.70313</v>
      </c>
      <c r="H164" s="130">
        <f>E164-G164</f>
        <v>-1443.7031299999999</v>
      </c>
      <c r="I164" s="130">
        <f>14516.45086</f>
        <v>14516.450860000001</v>
      </c>
      <c r="J164" s="132"/>
    </row>
    <row r="165" spans="1:10" ht="14.1" customHeight="1" x14ac:dyDescent="0.25">
      <c r="A165" s="69"/>
      <c r="B165" s="55"/>
      <c r="C165" s="59" t="s">
        <v>32</v>
      </c>
      <c r="D165" s="60">
        <f>D167+D166</f>
        <v>7478</v>
      </c>
      <c r="E165" s="60">
        <f>E167+E166</f>
        <v>8254</v>
      </c>
      <c r="F165" s="136">
        <v>9.9076500000000003</v>
      </c>
      <c r="G165" s="136">
        <v>6008.6120300000002</v>
      </c>
      <c r="H165" s="136">
        <f>H166+H167</f>
        <v>2245.3879699999998</v>
      </c>
      <c r="I165" s="136">
        <v>5379.1511899999996</v>
      </c>
      <c r="J165" s="137"/>
    </row>
    <row r="166" spans="1:10" ht="14.1" customHeight="1" x14ac:dyDescent="0.25">
      <c r="A166" s="1"/>
      <c r="B166" s="254"/>
      <c r="C166" s="64" t="s">
        <v>78</v>
      </c>
      <c r="D166" s="65">
        <v>6978</v>
      </c>
      <c r="E166" s="65">
        <v>7754</v>
      </c>
      <c r="F166" s="130">
        <v>9.9076500000000003</v>
      </c>
      <c r="G166" s="130">
        <v>5867.1894400000001</v>
      </c>
      <c r="H166" s="130">
        <f t="shared" ref="H166:H174" si="12">E166-G166</f>
        <v>1886.8105599999999</v>
      </c>
      <c r="I166" s="130">
        <v>5324.01343</v>
      </c>
      <c r="J166" s="123"/>
    </row>
    <row r="167" spans="1:10" ht="15" customHeight="1" x14ac:dyDescent="0.25">
      <c r="A167" s="1"/>
      <c r="B167" s="55"/>
      <c r="C167" s="64" t="s">
        <v>79</v>
      </c>
      <c r="D167" s="65">
        <v>500</v>
      </c>
      <c r="E167" s="65">
        <v>500</v>
      </c>
      <c r="F167" s="130"/>
      <c r="G167" s="130">
        <f>G165-G166</f>
        <v>141.42259000000013</v>
      </c>
      <c r="H167" s="130">
        <f t="shared" si="12"/>
        <v>358.57740999999987</v>
      </c>
      <c r="I167" s="130">
        <f>I165-I166</f>
        <v>55.137759999999616</v>
      </c>
      <c r="J167" s="138"/>
    </row>
    <row r="168" spans="1:10" ht="15.75" customHeight="1" x14ac:dyDescent="0.25">
      <c r="A168" s="1"/>
      <c r="B168" s="254"/>
      <c r="C168" s="38" t="s">
        <v>12</v>
      </c>
      <c r="D168" s="63">
        <v>9517</v>
      </c>
      <c r="E168" s="63">
        <v>9535</v>
      </c>
      <c r="F168" s="78">
        <f>298.63413</f>
        <v>298.63413000000003</v>
      </c>
      <c r="G168" s="78">
        <f>7848.47691</f>
        <v>7848.4769100000003</v>
      </c>
      <c r="H168" s="78">
        <f t="shared" si="12"/>
        <v>1686.5230899999997</v>
      </c>
      <c r="I168" s="78">
        <f>7748.77254</f>
        <v>7748.7725399999999</v>
      </c>
      <c r="J168" s="123"/>
    </row>
    <row r="169" spans="1:10" ht="15.75" customHeight="1" x14ac:dyDescent="0.25">
      <c r="A169" s="1"/>
      <c r="B169" s="254"/>
      <c r="C169" s="147" t="s">
        <v>37</v>
      </c>
      <c r="D169" s="148">
        <v>142</v>
      </c>
      <c r="E169" s="148">
        <v>142</v>
      </c>
      <c r="F169" s="143">
        <f>0.015</f>
        <v>1.4999999999999999E-2</v>
      </c>
      <c r="G169" s="143">
        <f>28.09967</f>
        <v>28.09967</v>
      </c>
      <c r="H169" s="143">
        <f t="shared" si="12"/>
        <v>113.90033</v>
      </c>
      <c r="I169" s="143">
        <f>21.68646</f>
        <v>21.68646</v>
      </c>
      <c r="J169" s="123"/>
    </row>
    <row r="170" spans="1:10" ht="15.75" customHeight="1" x14ac:dyDescent="0.25">
      <c r="A170" s="1"/>
      <c r="B170" s="254"/>
      <c r="C170" s="144" t="s">
        <v>80</v>
      </c>
      <c r="D170" s="93">
        <v>250</v>
      </c>
      <c r="E170" s="93">
        <v>250</v>
      </c>
      <c r="F170" s="102">
        <f>0.102</f>
        <v>0.10199999999999999</v>
      </c>
      <c r="G170" s="102">
        <f>307.078</f>
        <v>307.07799999999997</v>
      </c>
      <c r="H170" s="102">
        <f t="shared" si="12"/>
        <v>-57.077999999999975</v>
      </c>
      <c r="I170" s="102">
        <f>252.609</f>
        <v>252.60900000000001</v>
      </c>
      <c r="J170" s="123"/>
    </row>
    <row r="171" spans="1:10" ht="18" customHeight="1" x14ac:dyDescent="0.25">
      <c r="A171" s="1"/>
      <c r="B171" s="254"/>
      <c r="C171" s="144" t="s">
        <v>81</v>
      </c>
      <c r="D171" s="148">
        <v>2000</v>
      </c>
      <c r="E171" s="148">
        <v>2000</v>
      </c>
      <c r="F171" s="143">
        <f>6.64065</f>
        <v>6.6406499999999999</v>
      </c>
      <c r="G171" s="143">
        <v>2000</v>
      </c>
      <c r="H171" s="143">
        <f t="shared" si="12"/>
        <v>0</v>
      </c>
      <c r="I171" s="143">
        <v>2000</v>
      </c>
      <c r="J171" s="244"/>
    </row>
    <row r="172" spans="1:10" ht="15.75" customHeight="1" x14ac:dyDescent="0.25">
      <c r="A172" s="1"/>
      <c r="B172" s="254"/>
      <c r="C172" s="147" t="s">
        <v>40</v>
      </c>
      <c r="D172" s="148"/>
      <c r="E172" s="148"/>
      <c r="F172" s="143">
        <v>0</v>
      </c>
      <c r="G172" s="143">
        <v>0</v>
      </c>
      <c r="H172" s="143">
        <f t="shared" si="12"/>
        <v>0</v>
      </c>
      <c r="I172" s="143"/>
      <c r="J172" s="123"/>
    </row>
    <row r="173" spans="1:10" ht="15.75" customHeight="1" x14ac:dyDescent="0.25">
      <c r="A173" s="1"/>
      <c r="B173" s="254"/>
      <c r="C173" s="147" t="s">
        <v>82</v>
      </c>
      <c r="D173" s="148">
        <v>57</v>
      </c>
      <c r="E173" s="148">
        <v>57</v>
      </c>
      <c r="F173" s="143"/>
      <c r="G173" s="143"/>
      <c r="H173" s="143">
        <f t="shared" si="12"/>
        <v>57</v>
      </c>
      <c r="I173" s="143"/>
      <c r="J173" s="123"/>
    </row>
    <row r="174" spans="1:10" ht="15" customHeight="1" x14ac:dyDescent="0.25">
      <c r="A174" s="1"/>
      <c r="B174" s="254"/>
      <c r="C174" s="147" t="s">
        <v>43</v>
      </c>
      <c r="D174" s="150"/>
      <c r="E174" s="148"/>
      <c r="F174" s="143">
        <v>0.8819999999996071</v>
      </c>
      <c r="G174" s="143">
        <v>427.82679999998072</v>
      </c>
      <c r="H174" s="143">
        <f t="shared" si="12"/>
        <v>-427.82679999998072</v>
      </c>
      <c r="I174" s="143">
        <v>433.18270000000484</v>
      </c>
      <c r="J174" s="123"/>
    </row>
    <row r="175" spans="1:10" ht="0" hidden="1" customHeight="1" x14ac:dyDescent="0.25">
      <c r="C175" s="152"/>
      <c r="D175" s="154"/>
      <c r="E175" s="155"/>
      <c r="F175" s="154"/>
      <c r="G175" s="154"/>
      <c r="H175" s="154"/>
      <c r="I175" s="160"/>
    </row>
    <row r="176" spans="1:10" ht="14.25" customHeight="1" x14ac:dyDescent="0.25">
      <c r="A176" s="161"/>
      <c r="B176" s="54"/>
      <c r="C176" s="162" t="s">
        <v>44</v>
      </c>
      <c r="D176" s="80">
        <f t="shared" ref="D176:E176" si="13">D154+D158+D159+D169+D170+D171+D172+D173+D174</f>
        <v>182657</v>
      </c>
      <c r="E176" s="80">
        <f t="shared" si="13"/>
        <v>183413</v>
      </c>
      <c r="F176" s="80">
        <f>F154+F158+F159+F169+F170+F171+F172+F173+F174</f>
        <v>1821.2563699999998</v>
      </c>
      <c r="G176" s="80">
        <f>G154+G158+G159+G169+G170+G171+G172+G173+G174</f>
        <v>166986.93568999995</v>
      </c>
      <c r="H176" s="80">
        <f>H154+H158+H159+H169+H170+H171+H172+H173+H174</f>
        <v>16426.064310000023</v>
      </c>
      <c r="I176" s="80">
        <f>I154+I158+I159+I169+I170+I171+I172+I173+I174</f>
        <v>150174.26747999998</v>
      </c>
      <c r="J176" s="164"/>
    </row>
    <row r="177" spans="1:10" ht="14.25" customHeight="1" x14ac:dyDescent="0.25">
      <c r="A177" s="161"/>
      <c r="B177" s="54"/>
      <c r="C177" s="165" t="s">
        <v>83</v>
      </c>
      <c r="D177" s="122"/>
      <c r="E177" s="122"/>
      <c r="F177" s="122"/>
      <c r="G177" s="122"/>
      <c r="H177" s="167"/>
      <c r="I177" s="167"/>
      <c r="J177" s="164"/>
    </row>
    <row r="178" spans="1:10" ht="14.25" customHeight="1" x14ac:dyDescent="0.25">
      <c r="A178" s="161"/>
      <c r="B178" s="54"/>
      <c r="C178" s="101" t="s">
        <v>84</v>
      </c>
      <c r="D178" s="122"/>
      <c r="E178" s="122"/>
      <c r="F178" s="122"/>
      <c r="G178" s="122"/>
      <c r="H178" s="167"/>
      <c r="I178" s="161"/>
      <c r="J178" s="280"/>
    </row>
    <row r="179" spans="1:10" ht="14.25" customHeight="1" x14ac:dyDescent="0.25">
      <c r="A179" s="161"/>
      <c r="B179" s="54"/>
      <c r="C179" s="165" t="s">
        <v>149</v>
      </c>
      <c r="D179" s="122"/>
      <c r="E179" s="122"/>
      <c r="F179" s="122"/>
      <c r="G179" s="122"/>
      <c r="H179" s="167"/>
      <c r="I179" s="161"/>
      <c r="J179" s="280"/>
    </row>
    <row r="180" spans="1:10" ht="14.25" customHeight="1" x14ac:dyDescent="0.25">
      <c r="A180" s="161"/>
      <c r="B180" s="54"/>
      <c r="C180" s="81" t="s">
        <v>148</v>
      </c>
      <c r="D180" s="122"/>
      <c r="E180" s="122"/>
      <c r="F180" s="122"/>
      <c r="G180" s="122"/>
      <c r="H180" s="167"/>
      <c r="I180" s="167"/>
      <c r="J180" s="280"/>
    </row>
    <row r="181" spans="1:10" ht="15.75" customHeight="1" x14ac:dyDescent="0.25">
      <c r="A181" s="161"/>
      <c r="B181" s="54"/>
      <c r="C181" s="165" t="s">
        <v>85</v>
      </c>
      <c r="D181" s="122"/>
      <c r="E181" s="122"/>
      <c r="F181" s="122"/>
      <c r="G181" s="122"/>
      <c r="H181" s="167"/>
      <c r="I181" s="167"/>
      <c r="J181" s="280"/>
    </row>
    <row r="182" spans="1:10" ht="15.75" customHeight="1" x14ac:dyDescent="0.25">
      <c r="A182" s="161"/>
      <c r="B182" s="54"/>
      <c r="C182" s="81" t="s">
        <v>86</v>
      </c>
      <c r="D182" s="122"/>
      <c r="E182" s="122"/>
      <c r="F182" s="122"/>
      <c r="G182" s="122"/>
      <c r="H182" s="167"/>
      <c r="I182" s="167"/>
      <c r="J182" s="280"/>
    </row>
    <row r="183" spans="1:10" ht="12" customHeight="1" x14ac:dyDescent="0.25">
      <c r="A183" s="1"/>
      <c r="B183" s="169"/>
      <c r="C183" s="110"/>
      <c r="D183" s="172"/>
      <c r="E183" s="172"/>
      <c r="F183" s="172"/>
      <c r="G183" s="172"/>
      <c r="H183" s="110"/>
      <c r="I183" s="110"/>
      <c r="J183" s="121"/>
    </row>
    <row r="184" spans="1:10" ht="12" customHeight="1" x14ac:dyDescent="0.25">
      <c r="A184" s="1"/>
      <c r="B184" s="1"/>
      <c r="C184" s="202"/>
      <c r="D184" s="174"/>
      <c r="E184" s="174"/>
      <c r="F184" s="174"/>
      <c r="G184" s="174"/>
      <c r="H184" s="1"/>
      <c r="I184" s="1"/>
      <c r="J184" s="1"/>
    </row>
    <row r="185" spans="1:10" ht="37.5" customHeight="1" x14ac:dyDescent="0.25">
      <c r="A185" s="1"/>
      <c r="B185" s="1"/>
      <c r="C185" s="202"/>
      <c r="D185" s="174"/>
      <c r="E185" s="174"/>
      <c r="F185" s="174"/>
      <c r="G185" s="174"/>
      <c r="H185" s="1"/>
      <c r="I185" s="1"/>
      <c r="J185" s="1"/>
    </row>
    <row r="186" spans="1:10" ht="36.75" customHeight="1" x14ac:dyDescent="0.25">
      <c r="A186" s="1"/>
      <c r="B186" s="1"/>
      <c r="C186" s="202"/>
      <c r="D186" s="174"/>
      <c r="E186" s="174"/>
      <c r="F186" s="174"/>
      <c r="G186" s="174"/>
      <c r="H186" s="1"/>
      <c r="I186" s="1"/>
      <c r="J186" s="1"/>
    </row>
    <row r="187" spans="1:10" ht="20.25" customHeight="1" x14ac:dyDescent="0.25">
      <c r="A187" s="1"/>
      <c r="B187" s="1"/>
      <c r="C187" s="202"/>
      <c r="D187" s="174"/>
      <c r="E187" s="174"/>
      <c r="F187" s="174"/>
      <c r="G187" s="174"/>
      <c r="H187" s="1"/>
      <c r="I187" s="1"/>
      <c r="J187" s="1"/>
    </row>
    <row r="188" spans="1:10" ht="21.75" customHeight="1" x14ac:dyDescent="0.25">
      <c r="A188" s="1" t="s">
        <v>141</v>
      </c>
      <c r="B188" s="2"/>
      <c r="C188" s="219" t="s">
        <v>87</v>
      </c>
      <c r="D188" s="2"/>
      <c r="E188" s="2"/>
      <c r="F188" s="2"/>
      <c r="G188" s="2"/>
      <c r="H188" s="2"/>
      <c r="I188" s="2"/>
      <c r="J188" s="2"/>
    </row>
    <row r="189" spans="1:10" ht="6" customHeight="1" x14ac:dyDescent="0.25">
      <c r="A189" s="1"/>
      <c r="B189" s="2"/>
      <c r="C189" s="219"/>
      <c r="D189" s="2"/>
      <c r="E189" s="2"/>
      <c r="F189" s="2"/>
      <c r="G189" s="2"/>
      <c r="H189" s="2"/>
      <c r="I189" s="2"/>
      <c r="J189" s="2"/>
    </row>
    <row r="190" spans="1:10" ht="12" customHeight="1" x14ac:dyDescent="0.25">
      <c r="A190" s="1" t="s">
        <v>141</v>
      </c>
      <c r="B190" s="139"/>
      <c r="C190" s="178"/>
      <c r="D190" s="178"/>
      <c r="E190" s="178"/>
      <c r="F190" s="178"/>
      <c r="G190" s="178"/>
      <c r="H190" s="178"/>
      <c r="I190" s="178"/>
      <c r="J190" s="181"/>
    </row>
    <row r="191" spans="1:10" ht="14.1" customHeight="1" x14ac:dyDescent="0.25">
      <c r="A191" s="1" t="s">
        <v>141</v>
      </c>
      <c r="B191" s="254"/>
      <c r="C191" s="153" t="s">
        <v>2</v>
      </c>
      <c r="D191" s="189"/>
      <c r="E191" s="281"/>
      <c r="F191" s="281"/>
      <c r="G191" s="281"/>
      <c r="H191" s="1"/>
      <c r="I191" s="1"/>
      <c r="J191" s="123"/>
    </row>
    <row r="192" spans="1:10" ht="14.1" customHeight="1" x14ac:dyDescent="0.25">
      <c r="A192" s="1"/>
      <c r="B192" s="254"/>
      <c r="C192" s="182" t="s">
        <v>7</v>
      </c>
      <c r="D192" s="194">
        <v>12975</v>
      </c>
      <c r="E192" s="281"/>
      <c r="F192" s="281"/>
      <c r="G192" s="281"/>
      <c r="H192" s="1"/>
      <c r="I192" s="1"/>
      <c r="J192" s="123"/>
    </row>
    <row r="193" spans="1:10" ht="14.1" customHeight="1" x14ac:dyDescent="0.25">
      <c r="A193" s="1"/>
      <c r="B193" s="254"/>
      <c r="C193" s="182" t="s">
        <v>10</v>
      </c>
      <c r="D193" s="194">
        <v>11085</v>
      </c>
      <c r="E193" s="281"/>
      <c r="F193" s="281"/>
      <c r="G193" s="235"/>
      <c r="H193" s="1"/>
      <c r="I193" s="1"/>
      <c r="J193" s="123"/>
    </row>
    <row r="194" spans="1:10" ht="14.1" customHeight="1" x14ac:dyDescent="0.25">
      <c r="A194" s="1"/>
      <c r="B194" s="254"/>
      <c r="C194" s="182" t="s">
        <v>88</v>
      </c>
      <c r="D194" s="194">
        <v>940</v>
      </c>
      <c r="E194" s="281"/>
      <c r="F194" s="281"/>
      <c r="G194" s="281"/>
      <c r="H194" s="1"/>
      <c r="I194" s="1"/>
      <c r="J194" s="123"/>
    </row>
    <row r="195" spans="1:10" ht="14.1" customHeight="1" x14ac:dyDescent="0.25">
      <c r="A195" s="1"/>
      <c r="B195" s="254"/>
      <c r="C195" s="182" t="s">
        <v>57</v>
      </c>
      <c r="D195" s="194">
        <v>25000</v>
      </c>
      <c r="E195" s="281"/>
      <c r="F195" s="281"/>
      <c r="G195" s="281"/>
      <c r="H195" s="1"/>
      <c r="I195" s="1"/>
      <c r="J195" s="123"/>
    </row>
    <row r="196" spans="1:10" ht="14.1" customHeight="1" x14ac:dyDescent="0.25">
      <c r="A196" s="1"/>
      <c r="B196" s="254"/>
      <c r="C196" s="1"/>
      <c r="D196" s="49"/>
      <c r="E196" s="281"/>
      <c r="F196" s="281"/>
      <c r="G196" s="281"/>
      <c r="H196" s="1"/>
      <c r="I196" s="1"/>
      <c r="J196" s="123"/>
    </row>
    <row r="197" spans="1:10" ht="3.75" customHeight="1" x14ac:dyDescent="0.25">
      <c r="A197" s="1"/>
      <c r="B197" s="241"/>
      <c r="C197" s="163"/>
      <c r="D197" s="163"/>
      <c r="E197" s="267"/>
      <c r="F197" s="267"/>
      <c r="G197" s="267"/>
      <c r="H197" s="233"/>
      <c r="I197" s="233"/>
      <c r="J197" s="245"/>
    </row>
    <row r="198" spans="1:10" ht="24.75" customHeight="1" x14ac:dyDescent="0.25">
      <c r="A198" s="1"/>
      <c r="B198" s="254"/>
      <c r="C198" s="18" t="s">
        <v>18</v>
      </c>
      <c r="D198" s="183"/>
      <c r="E198" s="174"/>
      <c r="F198" s="174"/>
      <c r="G198" s="174"/>
      <c r="H198" s="1"/>
      <c r="I198" s="1"/>
      <c r="J198" s="123"/>
    </row>
    <row r="199" spans="1:10" ht="15.75" customHeight="1" x14ac:dyDescent="0.25">
      <c r="A199" s="1"/>
      <c r="B199" s="203"/>
      <c r="C199" s="224"/>
      <c r="D199" s="224"/>
      <c r="E199" s="224"/>
      <c r="F199" s="224"/>
      <c r="G199" s="224"/>
      <c r="H199" s="224"/>
      <c r="I199" s="224"/>
      <c r="J199" s="13"/>
    </row>
    <row r="200" spans="1:10" ht="61.5" customHeight="1" x14ac:dyDescent="0.25">
      <c r="A200" s="161"/>
      <c r="B200" s="54"/>
      <c r="C200" s="15" t="s">
        <v>19</v>
      </c>
      <c r="D200" s="180" t="s">
        <v>3</v>
      </c>
      <c r="E200" s="15" t="s">
        <v>142</v>
      </c>
      <c r="F200" s="15" t="s">
        <v>143</v>
      </c>
      <c r="G200" s="56" t="s">
        <v>144</v>
      </c>
      <c r="H200" s="15" t="s">
        <v>145</v>
      </c>
      <c r="I200" s="161"/>
      <c r="J200" s="280"/>
    </row>
    <row r="201" spans="1:10" ht="14.1" customHeight="1" x14ac:dyDescent="0.25">
      <c r="A201" s="1"/>
      <c r="B201" s="254"/>
      <c r="C201" s="145" t="s">
        <v>89</v>
      </c>
      <c r="D201" s="97">
        <v>5082</v>
      </c>
      <c r="E201" s="276">
        <f>13.81328</f>
        <v>13.813280000000001</v>
      </c>
      <c r="F201" s="276">
        <f>2169.9759</f>
        <v>2169.9758999999999</v>
      </c>
      <c r="G201" s="45">
        <f>D201-F201-F202</f>
        <v>1176.52989</v>
      </c>
      <c r="H201" s="276">
        <f>1970.17035</f>
        <v>1970.1703500000001</v>
      </c>
      <c r="I201" s="1"/>
      <c r="J201" s="123"/>
    </row>
    <row r="202" spans="1:10" ht="14.1" customHeight="1" x14ac:dyDescent="0.25">
      <c r="A202" s="1"/>
      <c r="B202" s="254"/>
      <c r="C202" s="141" t="s">
        <v>62</v>
      </c>
      <c r="D202" s="185"/>
      <c r="E202" s="156">
        <f>69.28036</f>
        <v>69.280360000000002</v>
      </c>
      <c r="F202" s="156">
        <f>1735.49421</f>
        <v>1735.4942100000001</v>
      </c>
      <c r="G202" s="217"/>
      <c r="H202" s="156">
        <f>1951.28743</f>
        <v>1951.2874300000001</v>
      </c>
      <c r="I202" s="1"/>
      <c r="J202" s="123"/>
    </row>
    <row r="203" spans="1:10" ht="15.6" customHeight="1" x14ac:dyDescent="0.25">
      <c r="A203" s="1"/>
      <c r="B203" s="254"/>
      <c r="C203" s="173" t="s">
        <v>90</v>
      </c>
      <c r="D203" s="102">
        <v>200</v>
      </c>
      <c r="E203" s="176">
        <f>0.02352</f>
        <v>2.3519999999999999E-2</v>
      </c>
      <c r="F203" s="176">
        <f>51.24568</f>
        <v>51.24568</v>
      </c>
      <c r="G203" s="176">
        <f>D203-F203</f>
        <v>148.75432000000001</v>
      </c>
      <c r="H203" s="176">
        <f>94.71838</f>
        <v>94.718379999999996</v>
      </c>
      <c r="I203" s="1"/>
      <c r="J203" s="123"/>
    </row>
    <row r="204" spans="1:10" ht="14.1" customHeight="1" x14ac:dyDescent="0.25">
      <c r="A204" s="70"/>
      <c r="B204" s="82"/>
      <c r="C204" s="184" t="s">
        <v>91</v>
      </c>
      <c r="D204" s="185">
        <v>7622</v>
      </c>
      <c r="E204" s="185">
        <f>E205+E206+E207</f>
        <v>31.519569999999998</v>
      </c>
      <c r="F204" s="185">
        <f>F205+F206+F207</f>
        <v>7819.3062800000007</v>
      </c>
      <c r="G204" s="185">
        <f>D204-F204</f>
        <v>-197.3062800000007</v>
      </c>
      <c r="H204" s="185">
        <f>H205+H206+H207</f>
        <v>8147.4591700000001</v>
      </c>
      <c r="I204" s="70"/>
      <c r="J204" s="119"/>
    </row>
    <row r="205" spans="1:10" ht="14.1" customHeight="1" x14ac:dyDescent="0.25">
      <c r="A205" s="202"/>
      <c r="B205" s="186"/>
      <c r="C205" s="187" t="s">
        <v>92</v>
      </c>
      <c r="D205" s="130"/>
      <c r="E205" s="130">
        <f>5.98508</f>
        <v>5.98508</v>
      </c>
      <c r="F205" s="130">
        <f>3964.56852</f>
        <v>3964.5685199999998</v>
      </c>
      <c r="G205" s="130"/>
      <c r="H205" s="130">
        <f>4078.22278</f>
        <v>4078.2227800000001</v>
      </c>
      <c r="I205" s="191"/>
      <c r="J205" s="132"/>
    </row>
    <row r="206" spans="1:10" ht="14.1" customHeight="1" x14ac:dyDescent="0.25">
      <c r="A206" s="202"/>
      <c r="B206" s="186"/>
      <c r="C206" s="187" t="s">
        <v>93</v>
      </c>
      <c r="D206" s="130"/>
      <c r="E206" s="130">
        <f>18.31862</f>
        <v>18.318619999999999</v>
      </c>
      <c r="F206" s="130">
        <f>2513.05885</f>
        <v>2513.0588499999999</v>
      </c>
      <c r="G206" s="130"/>
      <c r="H206" s="130">
        <f>2529.11809</f>
        <v>2529.1180899999999</v>
      </c>
      <c r="I206" s="191"/>
      <c r="J206" s="192"/>
    </row>
    <row r="207" spans="1:10" ht="14.1" customHeight="1" x14ac:dyDescent="0.25">
      <c r="A207" s="202"/>
      <c r="B207" s="186"/>
      <c r="C207" s="193" t="s">
        <v>94</v>
      </c>
      <c r="D207" s="196"/>
      <c r="E207" s="196">
        <f>7.21587</f>
        <v>7.2158699999999998</v>
      </c>
      <c r="F207" s="196">
        <f>1341.67891</f>
        <v>1341.6789100000001</v>
      </c>
      <c r="G207" s="196"/>
      <c r="H207" s="196">
        <f>1540.1183</f>
        <v>1540.1183000000001</v>
      </c>
      <c r="I207" s="191"/>
      <c r="J207" s="192"/>
    </row>
    <row r="208" spans="1:10" ht="14.1" customHeight="1" x14ac:dyDescent="0.25">
      <c r="A208" s="1"/>
      <c r="B208" s="254"/>
      <c r="C208" s="76" t="s">
        <v>95</v>
      </c>
      <c r="D208" s="143">
        <v>71</v>
      </c>
      <c r="E208" s="143">
        <f>0</f>
        <v>0</v>
      </c>
      <c r="F208" s="143">
        <f>0</f>
        <v>0</v>
      </c>
      <c r="G208" s="143">
        <f>D208-F208</f>
        <v>71</v>
      </c>
      <c r="H208" s="143">
        <f>0.6292</f>
        <v>0.62919999999999998</v>
      </c>
      <c r="I208" s="183"/>
      <c r="J208" s="244"/>
    </row>
    <row r="209" spans="1:10" ht="16.5" customHeight="1" x14ac:dyDescent="0.25">
      <c r="A209" s="1"/>
      <c r="B209" s="254"/>
      <c r="C209" s="96" t="s">
        <v>96</v>
      </c>
      <c r="D209" s="197"/>
      <c r="E209" s="97"/>
      <c r="F209" s="97"/>
      <c r="G209" s="97">
        <v>7.4999999999999997E-3</v>
      </c>
      <c r="H209" s="97"/>
      <c r="I209" s="183"/>
      <c r="J209" s="244"/>
    </row>
    <row r="210" spans="1:10" ht="19.350000000000001" customHeight="1" x14ac:dyDescent="0.25">
      <c r="A210" s="161"/>
      <c r="B210" s="54"/>
      <c r="C210" s="77" t="s">
        <v>44</v>
      </c>
      <c r="D210" s="198">
        <f>D201+D203+D204+D208</f>
        <v>12975</v>
      </c>
      <c r="E210" s="198">
        <f>E201+E202+E203+E204+E208+E209</f>
        <v>114.63673000000001</v>
      </c>
      <c r="F210" s="198">
        <f>F201+F202+F203+F204+F208+F209</f>
        <v>11776.022070000001</v>
      </c>
      <c r="G210" s="198">
        <f>D210-F210</f>
        <v>1198.9779299999991</v>
      </c>
      <c r="H210" s="198">
        <f>H201+H202+H203+H204+H208+H209</f>
        <v>12164.26453</v>
      </c>
      <c r="I210" s="167"/>
      <c r="J210" s="164"/>
    </row>
    <row r="211" spans="1:10" ht="42" customHeight="1" x14ac:dyDescent="0.25">
      <c r="A211" s="1"/>
      <c r="B211" s="203"/>
      <c r="C211" s="227" t="s">
        <v>97</v>
      </c>
      <c r="D211" s="227"/>
      <c r="E211" s="227"/>
      <c r="F211" s="227"/>
      <c r="G211" s="227"/>
      <c r="H211" s="224"/>
      <c r="I211" s="224"/>
      <c r="J211" s="13"/>
    </row>
    <row r="212" spans="1:10" ht="12" customHeight="1" x14ac:dyDescent="0.25">
      <c r="A212" s="161" t="s">
        <v>141</v>
      </c>
      <c r="B212" s="199"/>
      <c r="C212" s="110"/>
      <c r="D212" s="110"/>
      <c r="E212" s="110"/>
      <c r="F212" s="110"/>
      <c r="G212" s="110"/>
      <c r="H212" s="200"/>
      <c r="I212" s="204"/>
      <c r="J212" s="205"/>
    </row>
    <row r="213" spans="1:10" ht="10.5" customHeight="1" x14ac:dyDescent="0.25">
      <c r="A213" s="154"/>
      <c r="B213" s="1"/>
      <c r="C213" s="202"/>
      <c r="D213" s="174"/>
      <c r="E213" s="174"/>
      <c r="F213" s="174"/>
      <c r="G213" s="174"/>
      <c r="H213" s="1"/>
      <c r="I213" s="1"/>
      <c r="J213" s="1"/>
    </row>
    <row r="214" spans="1:10" ht="10.5" customHeight="1" x14ac:dyDescent="0.25">
      <c r="A214" s="154" t="s">
        <v>141</v>
      </c>
      <c r="B214" s="1"/>
      <c r="C214" s="202"/>
      <c r="D214" s="174"/>
      <c r="E214" s="174"/>
      <c r="F214" s="174"/>
      <c r="G214" s="174"/>
      <c r="H214" s="1"/>
      <c r="I214" s="1"/>
      <c r="J214" s="1"/>
    </row>
    <row r="215" spans="1:10" ht="21.75" customHeight="1" x14ac:dyDescent="0.35">
      <c r="A215" s="154"/>
      <c r="B215" s="1"/>
      <c r="C215" s="215" t="s">
        <v>98</v>
      </c>
      <c r="D215" s="174"/>
      <c r="E215" s="174"/>
      <c r="F215" s="174"/>
      <c r="G215" s="174"/>
      <c r="H215" s="1"/>
      <c r="I215" s="1"/>
      <c r="J215" s="1"/>
    </row>
    <row r="216" spans="1:10" ht="21.75" customHeight="1" x14ac:dyDescent="0.35">
      <c r="A216" s="154" t="s">
        <v>141</v>
      </c>
      <c r="B216" s="1"/>
      <c r="C216" s="215"/>
      <c r="D216" s="174"/>
      <c r="E216" s="174"/>
      <c r="F216" s="174"/>
      <c r="G216" s="174"/>
      <c r="H216" s="1"/>
      <c r="I216" s="1"/>
      <c r="J216" s="1"/>
    </row>
    <row r="217" spans="1:10" ht="12" customHeight="1" x14ac:dyDescent="0.25">
      <c r="A217" s="154"/>
      <c r="B217" s="142"/>
      <c r="C217" s="226"/>
      <c r="D217" s="237"/>
      <c r="E217" s="237"/>
      <c r="F217" s="237"/>
      <c r="G217" s="237"/>
      <c r="H217" s="159"/>
      <c r="I217" s="159"/>
      <c r="J217" s="166"/>
    </row>
    <row r="218" spans="1:10" ht="15" customHeight="1" x14ac:dyDescent="0.25">
      <c r="A218" s="154"/>
      <c r="B218" s="254"/>
      <c r="C218" s="153" t="s">
        <v>2</v>
      </c>
      <c r="D218" s="189"/>
      <c r="E218" s="154"/>
      <c r="F218" s="154"/>
      <c r="G218" s="174"/>
      <c r="H218" s="1"/>
      <c r="I218" s="1"/>
      <c r="J218" s="123"/>
    </row>
    <row r="219" spans="1:10" ht="15" customHeight="1" x14ac:dyDescent="0.25">
      <c r="A219" s="154"/>
      <c r="B219" s="254"/>
      <c r="C219" s="259" t="s">
        <v>99</v>
      </c>
      <c r="D219" s="270">
        <v>44291</v>
      </c>
      <c r="E219" s="154"/>
      <c r="F219" s="154"/>
      <c r="G219" s="174"/>
      <c r="H219" s="1"/>
      <c r="I219" s="1"/>
      <c r="J219" s="123"/>
    </row>
    <row r="220" spans="1:10" ht="15" customHeight="1" x14ac:dyDescent="0.25">
      <c r="A220" s="154"/>
      <c r="B220" s="254"/>
      <c r="C220" s="248" t="s">
        <v>100</v>
      </c>
      <c r="D220" s="46">
        <v>15198</v>
      </c>
      <c r="E220" s="154"/>
      <c r="F220" s="154"/>
      <c r="G220" s="174"/>
      <c r="H220" s="1"/>
      <c r="I220" s="1"/>
      <c r="J220" s="123"/>
    </row>
    <row r="221" spans="1:10" ht="18" customHeight="1" x14ac:dyDescent="0.25">
      <c r="A221" s="154"/>
      <c r="B221" s="254"/>
      <c r="C221" s="248" t="s">
        <v>101</v>
      </c>
      <c r="D221" s="46">
        <v>7721</v>
      </c>
      <c r="E221" s="154"/>
      <c r="F221" s="154"/>
      <c r="G221" s="174"/>
      <c r="H221" s="1"/>
      <c r="I221" s="1"/>
      <c r="J221" s="123"/>
    </row>
    <row r="222" spans="1:10" ht="11.25" customHeight="1" x14ac:dyDescent="0.25">
      <c r="A222" s="154"/>
      <c r="B222" s="254"/>
      <c r="C222" s="57" t="s">
        <v>57</v>
      </c>
      <c r="D222" s="35">
        <v>67210</v>
      </c>
      <c r="E222" s="154"/>
      <c r="F222" s="154"/>
      <c r="G222" s="174"/>
      <c r="H222" s="1"/>
      <c r="I222" s="1"/>
      <c r="J222" s="123"/>
    </row>
    <row r="223" spans="1:10" ht="12" customHeight="1" x14ac:dyDescent="0.25">
      <c r="A223" s="1"/>
      <c r="B223" s="254"/>
      <c r="C223" s="101" t="s">
        <v>102</v>
      </c>
      <c r="D223" s="174"/>
      <c r="E223" s="174"/>
      <c r="F223" s="174"/>
      <c r="G223" s="174"/>
      <c r="H223" s="1"/>
      <c r="I223" s="1"/>
      <c r="J223" s="123"/>
    </row>
    <row r="224" spans="1:10" ht="10.5" customHeight="1" x14ac:dyDescent="0.25">
      <c r="A224" s="1"/>
      <c r="B224" s="254"/>
      <c r="C224" s="101" t="s">
        <v>103</v>
      </c>
      <c r="D224" s="174"/>
      <c r="E224" s="174"/>
      <c r="F224" s="174"/>
      <c r="G224" s="174"/>
      <c r="H224" s="1"/>
      <c r="I224" s="1"/>
      <c r="J224" s="123"/>
    </row>
    <row r="225" spans="1:10" ht="12" customHeight="1" x14ac:dyDescent="0.25">
      <c r="A225" s="1"/>
      <c r="B225" s="254"/>
      <c r="C225" s="101" t="s">
        <v>104</v>
      </c>
      <c r="D225" s="174"/>
      <c r="E225" s="174"/>
      <c r="F225" s="174"/>
      <c r="G225" s="174"/>
      <c r="H225" s="1"/>
      <c r="I225" s="1"/>
      <c r="J225" s="123"/>
    </row>
    <row r="226" spans="1:10" ht="12" customHeight="1" x14ac:dyDescent="0.25">
      <c r="A226" s="1"/>
      <c r="B226" s="241"/>
      <c r="C226" s="267"/>
      <c r="D226" s="163"/>
      <c r="E226" s="163"/>
      <c r="F226" s="267"/>
      <c r="G226" s="267"/>
      <c r="H226" s="267"/>
      <c r="I226" s="233"/>
      <c r="J226" s="245"/>
    </row>
    <row r="227" spans="1:10" ht="23.25" customHeight="1" x14ac:dyDescent="0.25">
      <c r="A227" s="1"/>
      <c r="B227" s="254"/>
      <c r="C227" s="18" t="s">
        <v>18</v>
      </c>
      <c r="D227" s="174"/>
      <c r="E227" s="174"/>
      <c r="F227" s="174"/>
      <c r="G227" s="1"/>
      <c r="H227" s="1"/>
      <c r="I227" s="1"/>
      <c r="J227" s="123"/>
    </row>
    <row r="228" spans="1:10" ht="15" customHeight="1" x14ac:dyDescent="0.25">
      <c r="A228" s="1"/>
      <c r="B228" s="254"/>
      <c r="C228" s="101"/>
      <c r="D228" s="174"/>
      <c r="E228" s="174"/>
      <c r="F228" s="174"/>
      <c r="G228" s="174"/>
      <c r="H228" s="1"/>
      <c r="I228" s="1"/>
      <c r="J228" s="123"/>
    </row>
    <row r="229" spans="1:10" ht="48.75" customHeight="1" x14ac:dyDescent="0.25">
      <c r="A229" s="1"/>
      <c r="B229" s="254"/>
      <c r="C229" s="68" t="s">
        <v>19</v>
      </c>
      <c r="D229" s="79" t="s">
        <v>3</v>
      </c>
      <c r="E229" s="68" t="s">
        <v>142</v>
      </c>
      <c r="F229" s="68" t="s">
        <v>143</v>
      </c>
      <c r="G229" s="68" t="s">
        <v>144</v>
      </c>
      <c r="H229" s="68" t="s">
        <v>145</v>
      </c>
      <c r="I229" s="1"/>
      <c r="J229" s="123"/>
    </row>
    <row r="230" spans="1:10" ht="15" customHeight="1" x14ac:dyDescent="0.25">
      <c r="A230" s="1"/>
      <c r="B230" s="254"/>
      <c r="C230" s="90" t="s">
        <v>5</v>
      </c>
      <c r="D230" s="124">
        <v>44139</v>
      </c>
      <c r="E230" s="124">
        <f>64.77181</f>
        <v>64.771810000000002</v>
      </c>
      <c r="F230" s="124">
        <f>37086.35878</f>
        <v>37086.358780000002</v>
      </c>
      <c r="G230" s="124">
        <f>D230-F230</f>
        <v>7052.6412199999977</v>
      </c>
      <c r="H230" s="124">
        <f>43057.51744</f>
        <v>43057.517440000003</v>
      </c>
      <c r="I230" s="248"/>
      <c r="J230" s="123"/>
    </row>
    <row r="231" spans="1:10" ht="15" customHeight="1" x14ac:dyDescent="0.25">
      <c r="A231" s="1"/>
      <c r="B231" s="254"/>
      <c r="C231" s="90" t="s">
        <v>79</v>
      </c>
      <c r="D231" s="124">
        <v>100</v>
      </c>
      <c r="E231" s="124">
        <f>1.461</f>
        <v>1.4610000000000001</v>
      </c>
      <c r="F231" s="124">
        <f>60.1613</f>
        <v>60.161299999999997</v>
      </c>
      <c r="G231" s="124">
        <f>D231-F231</f>
        <v>39.838700000000003</v>
      </c>
      <c r="H231" s="124">
        <f>30.08378</f>
        <v>30.083780000000001</v>
      </c>
      <c r="I231" s="248"/>
      <c r="J231" s="123"/>
    </row>
    <row r="232" spans="1:10" ht="15.75" customHeight="1" x14ac:dyDescent="0.25">
      <c r="A232" s="1"/>
      <c r="B232" s="254"/>
      <c r="C232" s="146" t="s">
        <v>95</v>
      </c>
      <c r="D232" s="168">
        <v>52</v>
      </c>
      <c r="E232" s="168"/>
      <c r="F232" s="168"/>
      <c r="G232" s="168">
        <f>D232-F232</f>
        <v>52</v>
      </c>
      <c r="H232" s="168"/>
      <c r="I232" s="248"/>
      <c r="J232" s="123"/>
    </row>
    <row r="233" spans="1:10" ht="16.5" customHeight="1" x14ac:dyDescent="0.25">
      <c r="A233" s="1"/>
      <c r="B233" s="254"/>
      <c r="C233" s="179" t="s">
        <v>105</v>
      </c>
      <c r="D233" s="190">
        <f>SUM(D230:D232)</f>
        <v>44291</v>
      </c>
      <c r="E233" s="190">
        <f>SUM(E230:E232)</f>
        <v>66.232810000000001</v>
      </c>
      <c r="F233" s="190">
        <f>SUM(F230:F232)</f>
        <v>37146.520080000002</v>
      </c>
      <c r="G233" s="190">
        <f>D233-F233</f>
        <v>7144.4799199999979</v>
      </c>
      <c r="H233" s="190">
        <f>SUM(H230:H232)</f>
        <v>43087.601220000004</v>
      </c>
      <c r="I233" s="248"/>
      <c r="J233" s="123"/>
    </row>
    <row r="234" spans="1:10" ht="17.100000000000001" customHeight="1" x14ac:dyDescent="0.25">
      <c r="A234" s="1"/>
      <c r="B234" s="169"/>
      <c r="C234" s="201" t="s">
        <v>106</v>
      </c>
      <c r="D234" s="110"/>
      <c r="E234" s="110"/>
      <c r="F234" s="212"/>
      <c r="G234" s="212"/>
      <c r="H234" s="212"/>
      <c r="I234" s="212"/>
      <c r="J234" s="216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7.100000000000001" customHeight="1" x14ac:dyDescent="0.25">
      <c r="A268" s="1" t="s">
        <v>141</v>
      </c>
      <c r="B268" s="1"/>
      <c r="C268" s="1"/>
      <c r="D268" s="1"/>
      <c r="E268" s="1"/>
      <c r="F268" s="1"/>
      <c r="G268" s="1"/>
      <c r="H268" s="1"/>
      <c r="I268" s="1"/>
      <c r="J268" s="218"/>
    </row>
    <row r="269" spans="1:10" ht="30" customHeight="1" x14ac:dyDescent="0.25">
      <c r="A269" s="218"/>
      <c r="B269" s="218"/>
      <c r="C269" s="219" t="s">
        <v>107</v>
      </c>
      <c r="D269" s="218"/>
      <c r="E269" s="218"/>
      <c r="F269" s="218"/>
      <c r="G269" s="218"/>
      <c r="H269" s="218"/>
      <c r="I269" s="218"/>
      <c r="J269" s="224"/>
    </row>
    <row r="270" spans="1:10" ht="30" customHeight="1" x14ac:dyDescent="0.25">
      <c r="A270" s="218" t="s">
        <v>141</v>
      </c>
      <c r="B270" s="218"/>
      <c r="C270" s="219"/>
      <c r="D270" s="218"/>
      <c r="E270" s="218"/>
      <c r="F270" s="218"/>
      <c r="G270" s="218"/>
      <c r="H270" s="218"/>
      <c r="I270" s="218"/>
      <c r="J270" s="224"/>
    </row>
    <row r="271" spans="1:10" ht="14.1" customHeight="1" x14ac:dyDescent="0.25">
      <c r="A271" s="1"/>
      <c r="B271" s="139"/>
      <c r="C271" s="178"/>
      <c r="D271" s="178"/>
      <c r="E271" s="178"/>
      <c r="F271" s="178"/>
      <c r="G271" s="178"/>
      <c r="H271" s="178"/>
      <c r="I271" s="178"/>
      <c r="J271" s="166"/>
    </row>
    <row r="272" spans="1:10" ht="14.1" customHeight="1" x14ac:dyDescent="0.25">
      <c r="A272" s="161"/>
      <c r="B272" s="54"/>
      <c r="C272" s="153" t="s">
        <v>2</v>
      </c>
      <c r="D272" s="189"/>
      <c r="E272" s="154"/>
      <c r="F272" s="154"/>
      <c r="G272" s="161"/>
      <c r="H272" s="161"/>
      <c r="I272" s="161"/>
      <c r="J272" s="123"/>
    </row>
    <row r="273" spans="1:10" ht="14.1" customHeight="1" x14ac:dyDescent="0.25">
      <c r="A273" s="1"/>
      <c r="B273" s="254"/>
      <c r="C273" s="259" t="s">
        <v>99</v>
      </c>
      <c r="D273" s="270">
        <v>1870</v>
      </c>
      <c r="E273" s="154"/>
      <c r="F273" s="225"/>
      <c r="G273" s="1"/>
      <c r="H273" s="1"/>
      <c r="I273" s="1"/>
      <c r="J273" s="123"/>
    </row>
    <row r="274" spans="1:10" ht="14.1" customHeight="1" x14ac:dyDescent="0.25">
      <c r="A274" s="1"/>
      <c r="B274" s="254"/>
      <c r="C274" s="248" t="s">
        <v>108</v>
      </c>
      <c r="D274" s="46">
        <v>5934</v>
      </c>
      <c r="E274" s="154"/>
      <c r="F274" s="225"/>
      <c r="G274" s="1"/>
      <c r="H274" s="1"/>
      <c r="I274" s="1"/>
      <c r="J274" s="123"/>
    </row>
    <row r="275" spans="1:10" ht="14.1" customHeight="1" x14ac:dyDescent="0.25">
      <c r="A275" s="1"/>
      <c r="B275" s="254"/>
      <c r="C275" s="248" t="s">
        <v>109</v>
      </c>
      <c r="D275" s="46">
        <v>5060</v>
      </c>
      <c r="E275" s="154"/>
      <c r="F275" s="225"/>
      <c r="G275" s="1"/>
      <c r="H275" s="1"/>
      <c r="I275" s="1"/>
      <c r="J275" s="123"/>
    </row>
    <row r="276" spans="1:10" ht="13.5" customHeight="1" x14ac:dyDescent="0.25">
      <c r="A276" s="1"/>
      <c r="B276" s="254"/>
      <c r="C276" s="248" t="s">
        <v>88</v>
      </c>
      <c r="D276" s="46">
        <v>382</v>
      </c>
      <c r="E276" s="154"/>
      <c r="F276" s="225"/>
      <c r="G276" s="1"/>
      <c r="H276" s="1"/>
      <c r="I276" s="1"/>
      <c r="J276" s="123"/>
    </row>
    <row r="277" spans="1:10" ht="14.25" customHeight="1" x14ac:dyDescent="0.25">
      <c r="A277" s="1"/>
      <c r="B277" s="254"/>
      <c r="C277" s="57" t="s">
        <v>57</v>
      </c>
      <c r="D277" s="35">
        <f>SUM(D273:D276)</f>
        <v>13246</v>
      </c>
      <c r="E277" s="154"/>
      <c r="F277" s="154"/>
      <c r="G277" s="1"/>
      <c r="H277" s="1"/>
      <c r="I277" s="1"/>
      <c r="J277" s="123"/>
    </row>
    <row r="278" spans="1:10" ht="14.1" customHeight="1" x14ac:dyDescent="0.25">
      <c r="A278" s="1"/>
      <c r="B278" s="254"/>
      <c r="C278" s="228" t="s">
        <v>110</v>
      </c>
      <c r="D278" s="229"/>
      <c r="E278" s="183"/>
      <c r="F278" s="183"/>
      <c r="G278" s="1"/>
      <c r="H278" s="1"/>
      <c r="I278" s="1"/>
      <c r="J278" s="123"/>
    </row>
    <row r="279" spans="1:10" ht="15" customHeight="1" x14ac:dyDescent="0.25">
      <c r="A279" s="1"/>
      <c r="B279" s="254"/>
      <c r="C279" s="101" t="s">
        <v>111</v>
      </c>
      <c r="D279" s="230"/>
      <c r="E279" s="1"/>
      <c r="F279" s="1"/>
      <c r="G279" s="1"/>
      <c r="H279" s="1"/>
      <c r="I279" s="1"/>
      <c r="J279" s="123"/>
    </row>
    <row r="280" spans="1:10" ht="14.25" customHeight="1" x14ac:dyDescent="0.25">
      <c r="A280" s="1"/>
      <c r="B280" s="254"/>
      <c r="C280" s="101" t="s">
        <v>112</v>
      </c>
      <c r="D280" s="1"/>
      <c r="E280" s="1"/>
      <c r="F280" s="1"/>
      <c r="G280" s="1"/>
      <c r="H280" s="1"/>
      <c r="I280" s="1"/>
      <c r="J280" s="123"/>
    </row>
    <row r="281" spans="1:10" ht="23.25" customHeight="1" x14ac:dyDescent="0.25">
      <c r="A281" s="1"/>
      <c r="B281" s="231"/>
      <c r="C281" s="234" t="s">
        <v>18</v>
      </c>
      <c r="D281" s="234"/>
      <c r="E281" s="234"/>
      <c r="F281" s="234"/>
      <c r="G281" s="234"/>
      <c r="H281" s="234"/>
      <c r="I281" s="234"/>
      <c r="J281" s="238"/>
    </row>
    <row r="282" spans="1:10" ht="14.1" customHeight="1" x14ac:dyDescent="0.25">
      <c r="A282" s="1"/>
      <c r="B282" s="240"/>
      <c r="C282" s="242"/>
      <c r="D282" s="242"/>
      <c r="E282" s="242"/>
      <c r="F282" s="242"/>
      <c r="G282" s="242"/>
      <c r="H282" s="242"/>
      <c r="I282" s="242"/>
      <c r="J282" s="123"/>
    </row>
    <row r="283" spans="1:10" ht="54" customHeight="1" x14ac:dyDescent="0.25">
      <c r="A283" s="1"/>
      <c r="B283" s="254"/>
      <c r="C283" s="68" t="s">
        <v>19</v>
      </c>
      <c r="D283" s="243" t="s">
        <v>3</v>
      </c>
      <c r="E283" s="68" t="s">
        <v>142</v>
      </c>
      <c r="F283" s="68" t="s">
        <v>143</v>
      </c>
      <c r="G283" s="68" t="s">
        <v>144</v>
      </c>
      <c r="H283" s="68" t="s">
        <v>145</v>
      </c>
      <c r="I283" s="1"/>
      <c r="J283" s="119"/>
    </row>
    <row r="284" spans="1:10" ht="14.1" customHeight="1" x14ac:dyDescent="0.25">
      <c r="A284" s="70"/>
      <c r="B284" s="82"/>
      <c r="C284" s="90" t="s">
        <v>113</v>
      </c>
      <c r="D284" s="10">
        <v>1865</v>
      </c>
      <c r="E284" s="124">
        <f>3.03732</f>
        <v>3.0373199999999998</v>
      </c>
      <c r="F284" s="124">
        <f>375.66251</f>
        <v>375.66251</v>
      </c>
      <c r="G284" s="45">
        <f>D284-F284-F285</f>
        <v>-170.01012000000014</v>
      </c>
      <c r="H284" s="124">
        <f>483.34092</f>
        <v>483.34091999999998</v>
      </c>
      <c r="I284" s="70"/>
      <c r="J284" s="244"/>
    </row>
    <row r="285" spans="1:10" ht="14.1" customHeight="1" x14ac:dyDescent="0.25">
      <c r="A285" s="1"/>
      <c r="B285" s="254"/>
      <c r="C285" s="90" t="s">
        <v>114</v>
      </c>
      <c r="D285" s="221"/>
      <c r="E285" s="124">
        <f>0.90829</f>
        <v>0.90829000000000004</v>
      </c>
      <c r="F285" s="124">
        <f>1659.34761</f>
        <v>1659.34761</v>
      </c>
      <c r="G285" s="140"/>
      <c r="H285" s="124">
        <f>1030.99902</f>
        <v>1030.99902</v>
      </c>
      <c r="I285" s="183"/>
      <c r="J285" s="119"/>
    </row>
    <row r="286" spans="1:10" ht="16.5" customHeight="1" x14ac:dyDescent="0.25">
      <c r="A286" s="70"/>
      <c r="B286" s="82"/>
      <c r="C286" s="146" t="s">
        <v>95</v>
      </c>
      <c r="D286" s="246">
        <v>5</v>
      </c>
      <c r="E286" s="168">
        <f>0</f>
        <v>0</v>
      </c>
      <c r="F286" s="168">
        <f>1.0032</f>
        <v>1.0032000000000001</v>
      </c>
      <c r="G286" s="124">
        <f>D286-F286</f>
        <v>3.9967999999999999</v>
      </c>
      <c r="H286" s="168">
        <f>1.389</f>
        <v>1.389</v>
      </c>
      <c r="I286" s="70"/>
      <c r="J286" s="249"/>
    </row>
    <row r="287" spans="1:10" ht="18.75" customHeight="1" x14ac:dyDescent="0.25">
      <c r="A287" s="70"/>
      <c r="B287" s="250"/>
      <c r="C287" s="146" t="s">
        <v>115</v>
      </c>
      <c r="D287" s="222"/>
      <c r="E287" s="168">
        <f>0.0295</f>
        <v>2.9499999999999998E-2</v>
      </c>
      <c r="F287" s="168">
        <f>6.96964</f>
        <v>6.9696400000000001</v>
      </c>
      <c r="G287" s="124"/>
      <c r="H287" s="168">
        <f>2.88367</f>
        <v>2.88367</v>
      </c>
      <c r="I287" s="284"/>
      <c r="J287" s="123"/>
    </row>
    <row r="288" spans="1:10" ht="14.1" customHeight="1" x14ac:dyDescent="0.25">
      <c r="A288" s="1"/>
      <c r="B288" s="254"/>
      <c r="C288" s="179" t="s">
        <v>105</v>
      </c>
      <c r="D288" s="6">
        <f>D273</f>
        <v>1870</v>
      </c>
      <c r="E288" s="190">
        <f>SUM(E284:E287)</f>
        <v>3.9751099999999999</v>
      </c>
      <c r="F288" s="190">
        <f>SUM(F284:F287)</f>
        <v>2042.98296</v>
      </c>
      <c r="G288" s="190">
        <f>D288-F288</f>
        <v>-172.98296000000005</v>
      </c>
      <c r="H288" s="190">
        <f>H284+H285+H286+H287</f>
        <v>1518.6126099999997</v>
      </c>
      <c r="I288" s="1"/>
      <c r="J288" s="123"/>
    </row>
    <row r="289" spans="1:10" ht="14.1" customHeight="1" x14ac:dyDescent="0.25">
      <c r="A289" s="1"/>
      <c r="B289" s="254"/>
      <c r="C289" s="21"/>
      <c r="D289" s="34"/>
      <c r="E289" s="34"/>
      <c r="F289" s="34"/>
      <c r="G289" s="34"/>
      <c r="H289" s="34"/>
      <c r="I289" s="1"/>
      <c r="J289" s="123"/>
    </row>
    <row r="290" spans="1:10" ht="14.1" customHeight="1" x14ac:dyDescent="0.25">
      <c r="A290" s="1"/>
      <c r="B290" s="169"/>
      <c r="C290" s="110"/>
      <c r="D290" s="110"/>
      <c r="E290" s="110"/>
      <c r="F290" s="110"/>
      <c r="G290" s="109"/>
      <c r="H290" s="110"/>
      <c r="I290" s="110"/>
      <c r="J290" s="121"/>
    </row>
    <row r="291" spans="1:10" ht="14.1" customHeight="1" x14ac:dyDescent="0.25">
      <c r="A291" s="1"/>
      <c r="C291" s="154" t="s">
        <v>141</v>
      </c>
    </row>
    <row r="292" spans="1:10" ht="14.1" customHeight="1" x14ac:dyDescent="0.25">
      <c r="A292" s="1" t="s">
        <v>141</v>
      </c>
    </row>
    <row r="293" spans="1:10" ht="14.1" customHeight="1" x14ac:dyDescent="0.25">
      <c r="A293" s="1" t="s">
        <v>141</v>
      </c>
    </row>
    <row r="294" spans="1:10" ht="14.1" customHeight="1" x14ac:dyDescent="0.25">
      <c r="A294" s="1"/>
      <c r="C294" s="154" t="s">
        <v>141</v>
      </c>
    </row>
    <row r="295" spans="1:10" ht="36" customHeight="1" x14ac:dyDescent="0.25">
      <c r="A295" s="1"/>
      <c r="C295" s="154" t="s">
        <v>141</v>
      </c>
    </row>
    <row r="296" spans="1:10" ht="14.1" customHeight="1" x14ac:dyDescent="0.25">
      <c r="A296" s="1"/>
      <c r="C296" s="154" t="s">
        <v>141</v>
      </c>
    </row>
    <row r="297" spans="1:10" ht="14.1" customHeight="1" x14ac:dyDescent="0.25">
      <c r="A297" s="1"/>
      <c r="C297" s="154" t="s">
        <v>141</v>
      </c>
    </row>
    <row r="298" spans="1:10" ht="30" customHeight="1" x14ac:dyDescent="0.35">
      <c r="A298" s="218"/>
      <c r="B298" s="1"/>
      <c r="C298" s="215" t="s">
        <v>116</v>
      </c>
      <c r="D298" s="161"/>
      <c r="E298" s="1"/>
      <c r="F298" s="1"/>
      <c r="G298" s="1"/>
      <c r="H298" s="1"/>
      <c r="I298" s="1"/>
      <c r="J298" s="1"/>
    </row>
    <row r="299" spans="1:10" ht="17.100000000000001" customHeight="1" x14ac:dyDescent="0.25">
      <c r="B299" s="127"/>
      <c r="C299" s="239"/>
      <c r="D299" s="239"/>
      <c r="E299" s="239"/>
      <c r="F299" s="239"/>
      <c r="G299" s="239"/>
      <c r="H299" s="239"/>
      <c r="I299" s="239"/>
      <c r="J299" s="62"/>
    </row>
    <row r="300" spans="1:10" ht="6" customHeight="1" x14ac:dyDescent="0.25">
      <c r="B300" s="75"/>
      <c r="C300" s="154"/>
      <c r="D300" s="154"/>
      <c r="E300" s="154"/>
      <c r="F300" s="154"/>
      <c r="G300" s="154"/>
      <c r="H300" s="154"/>
      <c r="I300" s="154"/>
      <c r="J300" s="133"/>
    </row>
    <row r="301" spans="1:10" ht="18" customHeight="1" x14ac:dyDescent="0.25">
      <c r="B301" s="75"/>
      <c r="C301" s="153" t="s">
        <v>2</v>
      </c>
      <c r="D301" s="189"/>
      <c r="E301" s="153" t="s">
        <v>117</v>
      </c>
      <c r="F301" s="189"/>
      <c r="G301" s="153" t="s">
        <v>118</v>
      </c>
      <c r="H301" s="189"/>
      <c r="I301" s="154"/>
      <c r="J301" s="133"/>
    </row>
    <row r="302" spans="1:10" ht="14.25" customHeight="1" x14ac:dyDescent="0.25">
      <c r="B302" s="75"/>
      <c r="C302" s="259" t="s">
        <v>99</v>
      </c>
      <c r="D302" s="270">
        <v>22619</v>
      </c>
      <c r="E302" s="252" t="s">
        <v>5</v>
      </c>
      <c r="F302" s="106">
        <v>9109</v>
      </c>
      <c r="G302" s="248" t="s">
        <v>23</v>
      </c>
      <c r="H302" s="46">
        <v>3000</v>
      </c>
      <c r="I302" s="154"/>
      <c r="J302" s="133"/>
    </row>
    <row r="303" spans="1:10" ht="14.25" customHeight="1" x14ac:dyDescent="0.25">
      <c r="B303" s="75"/>
      <c r="C303" s="248" t="s">
        <v>109</v>
      </c>
      <c r="D303" s="46">
        <v>16564</v>
      </c>
      <c r="E303" s="183" t="s">
        <v>114</v>
      </c>
      <c r="F303" s="49">
        <v>8000</v>
      </c>
      <c r="G303" s="248" t="s">
        <v>24</v>
      </c>
      <c r="H303" s="46">
        <v>781</v>
      </c>
      <c r="I303" s="154"/>
      <c r="J303" s="133"/>
    </row>
    <row r="304" spans="1:10" ht="14.25" customHeight="1" x14ac:dyDescent="0.25">
      <c r="B304" s="75"/>
      <c r="C304" s="248" t="s">
        <v>108</v>
      </c>
      <c r="D304" s="46">
        <v>5012</v>
      </c>
      <c r="E304" s="183" t="s">
        <v>70</v>
      </c>
      <c r="F304" s="49">
        <v>5500</v>
      </c>
      <c r="G304" s="248" t="s">
        <v>119</v>
      </c>
      <c r="H304" s="46">
        <v>4103</v>
      </c>
      <c r="I304" s="154"/>
      <c r="J304" s="133"/>
    </row>
    <row r="305" spans="1:10" ht="14.1" customHeight="1" x14ac:dyDescent="0.25">
      <c r="B305" s="75"/>
      <c r="C305" s="248"/>
      <c r="D305" s="46"/>
      <c r="E305" s="134"/>
      <c r="F305" s="149"/>
      <c r="G305" s="248" t="s">
        <v>120</v>
      </c>
      <c r="H305" s="46">
        <v>1225</v>
      </c>
      <c r="I305" s="154"/>
      <c r="J305" s="133"/>
    </row>
    <row r="306" spans="1:10" ht="14.1" customHeight="1" x14ac:dyDescent="0.25">
      <c r="B306" s="75"/>
      <c r="C306" s="57" t="s">
        <v>57</v>
      </c>
      <c r="D306" s="35">
        <v>44950</v>
      </c>
      <c r="E306" s="177" t="s">
        <v>121</v>
      </c>
      <c r="F306" s="35">
        <f>F302+F303+F304</f>
        <v>22609</v>
      </c>
      <c r="G306" s="57" t="s">
        <v>5</v>
      </c>
      <c r="H306" s="35">
        <f>SUM(H302:H305)</f>
        <v>9109</v>
      </c>
      <c r="I306" s="154"/>
      <c r="J306" s="133"/>
    </row>
    <row r="307" spans="1:10" ht="13.35" customHeight="1" x14ac:dyDescent="0.25">
      <c r="B307" s="75"/>
      <c r="C307" s="101" t="s">
        <v>122</v>
      </c>
      <c r="D307" s="183"/>
      <c r="E307" s="183"/>
      <c r="F307" s="183"/>
      <c r="G307" s="1"/>
      <c r="H307" s="183"/>
      <c r="I307" s="183"/>
      <c r="J307" s="244"/>
    </row>
    <row r="308" spans="1:10" ht="13.35" customHeight="1" x14ac:dyDescent="0.25">
      <c r="B308" s="75"/>
      <c r="C308" s="101" t="s">
        <v>123</v>
      </c>
      <c r="D308" s="1"/>
      <c r="E308" s="1"/>
      <c r="F308" s="1"/>
      <c r="G308" s="1"/>
      <c r="H308" s="1"/>
      <c r="I308" s="1"/>
      <c r="J308" s="123"/>
    </row>
    <row r="309" spans="1:10" ht="9.75" customHeight="1" x14ac:dyDescent="0.25">
      <c r="B309" s="75"/>
      <c r="C309" s="101"/>
      <c r="D309" s="1"/>
      <c r="E309" s="1"/>
      <c r="F309" s="1"/>
      <c r="G309" s="1"/>
      <c r="H309" s="1"/>
      <c r="I309" s="1"/>
      <c r="J309" s="123"/>
    </row>
    <row r="310" spans="1:10" ht="18" customHeight="1" x14ac:dyDescent="0.25">
      <c r="B310" s="75"/>
      <c r="C310" s="154"/>
      <c r="D310" s="154"/>
      <c r="E310" s="154"/>
      <c r="F310" s="154"/>
      <c r="G310" s="154"/>
      <c r="H310" s="154"/>
      <c r="I310" s="154"/>
      <c r="J310" s="133"/>
    </row>
    <row r="311" spans="1:10" ht="29.25" customHeight="1" x14ac:dyDescent="0.25">
      <c r="B311" s="231"/>
      <c r="C311" s="234" t="s">
        <v>18</v>
      </c>
      <c r="D311" s="234"/>
      <c r="E311" s="234"/>
      <c r="F311" s="234"/>
      <c r="G311" s="234"/>
      <c r="H311" s="234"/>
      <c r="I311" s="234"/>
      <c r="J311" s="238"/>
    </row>
    <row r="312" spans="1:10" ht="18.75" customHeight="1" x14ac:dyDescent="0.25">
      <c r="B312" s="203"/>
      <c r="C312" s="224"/>
      <c r="D312" s="224"/>
      <c r="E312" s="224"/>
      <c r="F312" s="224"/>
      <c r="G312" s="224"/>
      <c r="H312" s="224"/>
      <c r="I312" s="224"/>
      <c r="J312" s="13"/>
    </row>
    <row r="313" spans="1:10" ht="64.5" customHeight="1" x14ac:dyDescent="0.25">
      <c r="B313" s="75"/>
      <c r="C313" s="223" t="s">
        <v>19</v>
      </c>
      <c r="D313" s="232" t="s">
        <v>20</v>
      </c>
      <c r="E313" s="68" t="s">
        <v>124</v>
      </c>
      <c r="F313" s="223" t="s">
        <v>142</v>
      </c>
      <c r="G313" s="223" t="s">
        <v>143</v>
      </c>
      <c r="H313" s="223" t="s">
        <v>144</v>
      </c>
      <c r="I313" s="223" t="s">
        <v>145</v>
      </c>
      <c r="J313" s="133"/>
    </row>
    <row r="314" spans="1:10" ht="14.1" customHeight="1" x14ac:dyDescent="0.25">
      <c r="A314" s="218"/>
      <c r="B314" s="75"/>
      <c r="C314" s="247" t="s">
        <v>22</v>
      </c>
      <c r="D314" s="251">
        <f t="shared" ref="D314:I314" si="14">D318+D317+D316+D315</f>
        <v>9109</v>
      </c>
      <c r="E314" s="251">
        <f t="shared" si="14"/>
        <v>12104</v>
      </c>
      <c r="F314" s="253">
        <f t="shared" si="14"/>
        <v>166.8272</v>
      </c>
      <c r="G314" s="253">
        <f t="shared" si="14"/>
        <v>9886.6950399999987</v>
      </c>
      <c r="H314" s="253">
        <f>H318+H317+H316+H315</f>
        <v>2217.3049600000004</v>
      </c>
      <c r="I314" s="253">
        <f t="shared" si="14"/>
        <v>13489.22667</v>
      </c>
      <c r="J314" s="133"/>
    </row>
    <row r="315" spans="1:10" ht="14.1" customHeight="1" x14ac:dyDescent="0.25">
      <c r="A315" s="218"/>
      <c r="B315" s="75"/>
      <c r="C315" s="255" t="s">
        <v>125</v>
      </c>
      <c r="D315" s="256">
        <v>3000</v>
      </c>
      <c r="E315" s="256">
        <v>5258</v>
      </c>
      <c r="F315" s="257">
        <f>1.944</f>
        <v>1.944</v>
      </c>
      <c r="G315" s="257">
        <f>6443.18564</f>
        <v>6443.1856399999997</v>
      </c>
      <c r="H315" s="257">
        <f t="shared" ref="H315:H319" si="15">E315-G315</f>
        <v>-1185.1856399999997</v>
      </c>
      <c r="I315" s="257">
        <f>7768.21189</f>
        <v>7768.2118899999996</v>
      </c>
      <c r="J315" s="133"/>
    </row>
    <row r="316" spans="1:10" ht="14.1" customHeight="1" x14ac:dyDescent="0.25">
      <c r="A316" s="218"/>
      <c r="B316" s="75"/>
      <c r="C316" s="260" t="s">
        <v>24</v>
      </c>
      <c r="D316" s="256">
        <v>781</v>
      </c>
      <c r="E316" s="256">
        <v>1369</v>
      </c>
      <c r="F316" s="257">
        <f>123.525</f>
        <v>123.52500000000001</v>
      </c>
      <c r="G316" s="257">
        <f>776.37825</f>
        <v>776.37824999999998</v>
      </c>
      <c r="H316" s="257">
        <f t="shared" si="15"/>
        <v>592.62175000000002</v>
      </c>
      <c r="I316" s="257">
        <f>1735.06325</f>
        <v>1735.0632499999999</v>
      </c>
      <c r="J316" s="133"/>
    </row>
    <row r="317" spans="1:10" ht="14.1" customHeight="1" x14ac:dyDescent="0.25">
      <c r="A317" s="218"/>
      <c r="B317" s="75"/>
      <c r="C317" s="260" t="s">
        <v>120</v>
      </c>
      <c r="D317" s="256">
        <v>1225</v>
      </c>
      <c r="E317" s="256">
        <v>1283</v>
      </c>
      <c r="F317" s="257">
        <f>1.6914</f>
        <v>1.6914</v>
      </c>
      <c r="G317" s="257">
        <f>1655.45215</f>
        <v>1655.4521500000001</v>
      </c>
      <c r="H317" s="257">
        <f t="shared" si="15"/>
        <v>-372.45215000000007</v>
      </c>
      <c r="I317" s="257">
        <f>1583.12128</f>
        <v>1583.1212800000001</v>
      </c>
      <c r="J317" s="133"/>
    </row>
    <row r="318" spans="1:10" ht="14.1" customHeight="1" x14ac:dyDescent="0.25">
      <c r="A318" s="218"/>
      <c r="B318" s="75"/>
      <c r="C318" s="262" t="s">
        <v>126</v>
      </c>
      <c r="D318" s="263">
        <v>4103</v>
      </c>
      <c r="E318" s="263">
        <v>4194</v>
      </c>
      <c r="F318" s="257">
        <f>39.6668</f>
        <v>39.666800000000002</v>
      </c>
      <c r="G318" s="257">
        <f>1011.679</f>
        <v>1011.679</v>
      </c>
      <c r="H318" s="257">
        <f t="shared" si="15"/>
        <v>3182.3209999999999</v>
      </c>
      <c r="I318" s="257">
        <f>2402.83025</f>
        <v>2402.83025</v>
      </c>
      <c r="J318" s="133"/>
    </row>
    <row r="319" spans="1:10" ht="14.1" customHeight="1" x14ac:dyDescent="0.25">
      <c r="A319" s="218"/>
      <c r="B319" s="75"/>
      <c r="C319" s="265" t="s">
        <v>70</v>
      </c>
      <c r="D319" s="266">
        <v>5500</v>
      </c>
      <c r="E319" s="266">
        <v>5500</v>
      </c>
      <c r="F319" s="268">
        <f>0</f>
        <v>0</v>
      </c>
      <c r="G319" s="268">
        <f>4571.77976</f>
        <v>4571.7797600000004</v>
      </c>
      <c r="H319" s="268">
        <f t="shared" si="15"/>
        <v>928.22023999999965</v>
      </c>
      <c r="I319" s="268">
        <f>2204.00913</f>
        <v>2204.0091299999999</v>
      </c>
      <c r="J319" s="133"/>
    </row>
    <row r="320" spans="1:10" ht="14.1" customHeight="1" x14ac:dyDescent="0.25">
      <c r="A320" s="218"/>
      <c r="B320" s="75"/>
      <c r="C320" s="247" t="s">
        <v>25</v>
      </c>
      <c r="D320" s="251">
        <v>8000</v>
      </c>
      <c r="E320" s="251">
        <v>8000</v>
      </c>
      <c r="F320" s="269">
        <f>F322+F321</f>
        <v>25.375959999999999</v>
      </c>
      <c r="G320" s="269">
        <f>G322+G321</f>
        <v>4501.52891</v>
      </c>
      <c r="H320" s="269">
        <f>E320-G320</f>
        <v>3498.47109</v>
      </c>
      <c r="I320" s="269">
        <f>I322+I321</f>
        <v>3083.4876800000002</v>
      </c>
      <c r="J320" s="133"/>
    </row>
    <row r="321" spans="1:10" ht="14.1" customHeight="1" x14ac:dyDescent="0.25">
      <c r="A321" s="218"/>
      <c r="B321" s="75"/>
      <c r="C321" s="260" t="s">
        <v>62</v>
      </c>
      <c r="D321" s="271"/>
      <c r="E321" s="256"/>
      <c r="F321" s="257">
        <f>0</f>
        <v>0</v>
      </c>
      <c r="G321" s="257">
        <f>1261.238</f>
        <v>1261.2380000000001</v>
      </c>
      <c r="H321" s="257"/>
      <c r="I321" s="257">
        <f>13.22733</f>
        <v>13.22733</v>
      </c>
      <c r="J321" s="133"/>
    </row>
    <row r="322" spans="1:10" ht="14.1" customHeight="1" x14ac:dyDescent="0.25">
      <c r="A322" s="218"/>
      <c r="B322" s="75"/>
      <c r="C322" s="273" t="s">
        <v>127</v>
      </c>
      <c r="D322" s="274"/>
      <c r="E322" s="277"/>
      <c r="F322" s="278">
        <f>25.37596</f>
        <v>25.375959999999999</v>
      </c>
      <c r="G322" s="278">
        <f>3240.29091</f>
        <v>3240.2909100000002</v>
      </c>
      <c r="H322" s="278"/>
      <c r="I322" s="278">
        <f>3070.26035</f>
        <v>3070.26035</v>
      </c>
      <c r="J322" s="133"/>
    </row>
    <row r="323" spans="1:10" ht="14.1" customHeight="1" x14ac:dyDescent="0.25">
      <c r="A323" s="218"/>
      <c r="B323" s="75"/>
      <c r="C323" s="265" t="s">
        <v>37</v>
      </c>
      <c r="D323" s="266">
        <v>10</v>
      </c>
      <c r="E323" s="266">
        <v>10</v>
      </c>
      <c r="F323" s="268">
        <f>0</f>
        <v>0</v>
      </c>
      <c r="G323" s="268">
        <f>0.4968</f>
        <v>0.49680000000000002</v>
      </c>
      <c r="H323" s="268">
        <f>E323-G323</f>
        <v>9.5031999999999996</v>
      </c>
      <c r="I323" s="268">
        <f>0.3915</f>
        <v>0.39150000000000001</v>
      </c>
      <c r="J323" s="133"/>
    </row>
    <row r="324" spans="1:10" ht="14.1" customHeight="1" x14ac:dyDescent="0.25">
      <c r="A324" s="218"/>
      <c r="B324" s="75"/>
      <c r="C324" s="279" t="s">
        <v>128</v>
      </c>
      <c r="D324" s="282"/>
      <c r="E324" s="283"/>
      <c r="F324" s="268">
        <f>0.38636</f>
        <v>0.38635999999999998</v>
      </c>
      <c r="G324" s="268">
        <f>242.87176</f>
        <v>242.87175999999999</v>
      </c>
      <c r="H324" s="268">
        <f>E324-G324</f>
        <v>-242.87175999999999</v>
      </c>
      <c r="I324" s="268">
        <f>31.25464</f>
        <v>31.254639999999998</v>
      </c>
      <c r="J324" s="133"/>
    </row>
    <row r="325" spans="1:10" ht="19.5" customHeight="1" x14ac:dyDescent="0.25">
      <c r="A325" s="218"/>
      <c r="B325" s="75"/>
      <c r="C325" s="285" t="s">
        <v>44</v>
      </c>
      <c r="D325" s="286">
        <f>D314+D319+D320+D323+D324</f>
        <v>22619</v>
      </c>
      <c r="E325" s="286">
        <f>E314+E319+E320+E323+E324</f>
        <v>25614</v>
      </c>
      <c r="F325" s="287">
        <f t="shared" ref="F325:I325" si="16">F314+F319+F320+F323+F324</f>
        <v>192.58951999999999</v>
      </c>
      <c r="G325" s="287">
        <f t="shared" si="16"/>
        <v>19203.37227</v>
      </c>
      <c r="H325" s="287">
        <f>H314+H319+H320+H323+H324</f>
        <v>6410.6277300000002</v>
      </c>
      <c r="I325" s="287">
        <f t="shared" si="16"/>
        <v>18808.369620000001</v>
      </c>
      <c r="J325" s="133"/>
    </row>
    <row r="326" spans="1:10" ht="14.1" customHeight="1" x14ac:dyDescent="0.25">
      <c r="A326" s="218"/>
      <c r="B326" s="75"/>
      <c r="C326" s="165" t="s">
        <v>129</v>
      </c>
      <c r="D326" s="289"/>
      <c r="E326" s="289"/>
      <c r="F326" s="4"/>
      <c r="G326" s="4"/>
      <c r="H326" s="5"/>
      <c r="I326" s="5"/>
      <c r="J326" s="133"/>
    </row>
    <row r="327" spans="1:10" ht="14.1" customHeight="1" x14ac:dyDescent="0.25">
      <c r="A327" s="218"/>
      <c r="B327" s="75"/>
      <c r="C327" s="101" t="s">
        <v>130</v>
      </c>
      <c r="D327" s="289"/>
      <c r="E327" s="289"/>
      <c r="F327" s="4"/>
      <c r="G327" s="4"/>
      <c r="H327" s="7"/>
      <c r="I327" s="5"/>
      <c r="J327" s="133"/>
    </row>
    <row r="328" spans="1:10" ht="14.1" customHeight="1" x14ac:dyDescent="0.25">
      <c r="A328" s="218"/>
      <c r="B328" s="75"/>
      <c r="C328" s="101" t="s">
        <v>131</v>
      </c>
      <c r="D328" s="289"/>
      <c r="E328" s="289"/>
      <c r="F328" s="4"/>
      <c r="G328" s="4"/>
      <c r="H328" s="5"/>
      <c r="I328" s="7"/>
      <c r="J328" s="133"/>
    </row>
    <row r="329" spans="1:10" ht="15.75" customHeight="1" x14ac:dyDescent="0.25">
      <c r="A329" s="218"/>
      <c r="B329" s="8"/>
      <c r="C329" s="9"/>
      <c r="D329" s="110"/>
      <c r="E329" s="110"/>
      <c r="F329" s="110"/>
      <c r="G329" s="110"/>
      <c r="H329" s="110"/>
      <c r="I329" s="110"/>
      <c r="J329" s="12"/>
    </row>
    <row r="330" spans="1:10" ht="15.75" customHeight="1" x14ac:dyDescent="0.25">
      <c r="A330" s="218"/>
      <c r="B330" s="154" t="s">
        <v>141</v>
      </c>
      <c r="C330" s="14"/>
      <c r="D330" s="1"/>
      <c r="E330" s="1"/>
      <c r="F330" s="1"/>
      <c r="G330" s="1"/>
      <c r="H330" s="1"/>
      <c r="I330" s="1"/>
      <c r="J330" s="154"/>
    </row>
    <row r="331" spans="1:10" ht="15.75" customHeight="1" x14ac:dyDescent="0.25">
      <c r="A331" s="218"/>
      <c r="B331" s="154" t="s">
        <v>141</v>
      </c>
      <c r="C331" s="14"/>
      <c r="D331" s="1"/>
      <c r="E331" s="1"/>
      <c r="F331" s="1"/>
      <c r="G331" s="1"/>
      <c r="H331" s="1"/>
      <c r="I331" s="1"/>
      <c r="J331" s="154"/>
    </row>
    <row r="332" spans="1:10" ht="14.1" customHeight="1" x14ac:dyDescent="0.25">
      <c r="A332" s="218"/>
      <c r="C332" s="154" t="s">
        <v>141</v>
      </c>
      <c r="D332" s="161"/>
    </row>
    <row r="333" spans="1:10" ht="14.1" customHeight="1" x14ac:dyDescent="0.25">
      <c r="A333" s="218"/>
      <c r="B333" s="127"/>
      <c r="C333" s="239"/>
      <c r="D333" s="17"/>
      <c r="E333" s="239"/>
      <c r="F333" s="239"/>
      <c r="G333" s="239"/>
      <c r="H333" s="239"/>
      <c r="I333" s="239"/>
      <c r="J333" s="62"/>
    </row>
    <row r="334" spans="1:10" ht="14.1" customHeight="1" x14ac:dyDescent="0.25">
      <c r="A334" s="218"/>
      <c r="B334" s="75"/>
      <c r="C334" s="219" t="s">
        <v>132</v>
      </c>
      <c r="D334" s="161"/>
      <c r="E334" s="154"/>
      <c r="G334" s="154"/>
      <c r="H334" s="154"/>
      <c r="I334" s="154"/>
      <c r="J334" s="133"/>
    </row>
    <row r="335" spans="1:10" ht="14.1" customHeight="1" x14ac:dyDescent="0.25">
      <c r="A335" s="218"/>
      <c r="B335" s="75"/>
      <c r="C335" s="154"/>
      <c r="D335" s="161"/>
      <c r="E335" s="154"/>
      <c r="G335" s="154"/>
      <c r="H335" s="154"/>
      <c r="I335" s="154"/>
      <c r="J335" s="133"/>
    </row>
    <row r="336" spans="1:10" ht="14.1" customHeight="1" x14ac:dyDescent="0.25">
      <c r="A336" s="218"/>
      <c r="B336" s="75"/>
      <c r="C336" s="153" t="s">
        <v>133</v>
      </c>
      <c r="D336" s="189"/>
      <c r="E336" s="154"/>
      <c r="F336" s="154"/>
      <c r="G336" s="154"/>
      <c r="H336" s="154"/>
      <c r="I336" s="154"/>
      <c r="J336" s="133"/>
    </row>
    <row r="337" spans="1:10" ht="14.1" customHeight="1" x14ac:dyDescent="0.25">
      <c r="A337" s="218"/>
      <c r="B337" s="75"/>
      <c r="C337" s="259" t="s">
        <v>99</v>
      </c>
      <c r="D337" s="270">
        <v>4506</v>
      </c>
      <c r="E337" s="154"/>
      <c r="F337" s="154"/>
      <c r="G337" s="154"/>
      <c r="H337" s="154"/>
      <c r="I337" s="154"/>
      <c r="J337" s="133"/>
    </row>
    <row r="338" spans="1:10" ht="14.1" customHeight="1" x14ac:dyDescent="0.25">
      <c r="A338" s="218"/>
      <c r="B338" s="75"/>
      <c r="C338" s="248" t="s">
        <v>109</v>
      </c>
      <c r="D338" s="46">
        <v>3083</v>
      </c>
      <c r="E338" s="154"/>
      <c r="G338" s="154"/>
      <c r="H338" s="154"/>
      <c r="I338" s="154"/>
      <c r="J338" s="133"/>
    </row>
    <row r="339" spans="1:10" ht="14.1" customHeight="1" x14ac:dyDescent="0.25">
      <c r="A339" s="218"/>
      <c r="B339" s="75"/>
      <c r="C339" s="248" t="s">
        <v>88</v>
      </c>
      <c r="D339" s="46">
        <v>123</v>
      </c>
      <c r="E339" s="154"/>
      <c r="F339" s="154"/>
      <c r="G339" s="154"/>
      <c r="H339" s="154"/>
      <c r="I339" s="154"/>
      <c r="J339" s="133"/>
    </row>
    <row r="340" spans="1:10" ht="14.1" customHeight="1" x14ac:dyDescent="0.25">
      <c r="A340" s="218"/>
      <c r="B340" s="75"/>
      <c r="C340" s="57" t="s">
        <v>57</v>
      </c>
      <c r="D340" s="35">
        <v>7712</v>
      </c>
      <c r="E340" s="154"/>
      <c r="F340" s="154"/>
      <c r="G340" s="154"/>
      <c r="H340" s="154"/>
      <c r="I340" s="154"/>
      <c r="J340" s="133"/>
    </row>
    <row r="341" spans="1:10" ht="14.1" customHeight="1" x14ac:dyDescent="0.25">
      <c r="A341" s="218"/>
      <c r="B341" s="75"/>
      <c r="C341" s="228" t="s">
        <v>134</v>
      </c>
      <c r="D341" s="149"/>
      <c r="E341" s="154"/>
      <c r="F341" s="154"/>
      <c r="G341" s="154"/>
      <c r="H341" s="154"/>
      <c r="I341" s="154"/>
      <c r="J341" s="133"/>
    </row>
    <row r="342" spans="1:10" ht="14.1" customHeight="1" x14ac:dyDescent="0.25">
      <c r="A342" s="218"/>
      <c r="B342" s="75"/>
      <c r="C342" s="101" t="s">
        <v>135</v>
      </c>
      <c r="D342" s="134"/>
      <c r="E342" s="154"/>
      <c r="F342" s="154"/>
      <c r="G342" s="154"/>
      <c r="H342" s="154"/>
      <c r="I342" s="154"/>
      <c r="J342" s="133"/>
    </row>
    <row r="343" spans="1:10" ht="14.1" customHeight="1" x14ac:dyDescent="0.25">
      <c r="A343" s="218"/>
      <c r="B343" s="75"/>
      <c r="C343" s="154"/>
      <c r="D343" s="161"/>
      <c r="E343" s="154"/>
      <c r="F343" s="154"/>
      <c r="G343" s="154"/>
      <c r="H343" s="154"/>
      <c r="I343" s="154"/>
      <c r="J343" s="133"/>
    </row>
    <row r="344" spans="1:10" ht="14.1" customHeight="1" x14ac:dyDescent="0.25">
      <c r="A344" s="218"/>
      <c r="B344" s="75"/>
      <c r="C344" s="154"/>
      <c r="D344" s="154"/>
      <c r="E344" s="154"/>
      <c r="F344" s="154"/>
      <c r="G344" s="154"/>
      <c r="H344" s="154"/>
      <c r="I344" s="154"/>
      <c r="J344" s="133"/>
    </row>
    <row r="345" spans="1:10" ht="29.25" customHeight="1" x14ac:dyDescent="0.25">
      <c r="A345" s="218"/>
      <c r="B345" s="231"/>
      <c r="C345" s="234" t="s">
        <v>18</v>
      </c>
      <c r="D345" s="234"/>
      <c r="E345" s="234"/>
      <c r="F345" s="234"/>
      <c r="G345" s="234"/>
      <c r="H345" s="234"/>
      <c r="I345" s="234"/>
      <c r="J345" s="238"/>
    </row>
    <row r="346" spans="1:10" ht="78" customHeight="1" x14ac:dyDescent="0.25">
      <c r="A346" s="218"/>
      <c r="B346" s="203"/>
      <c r="C346" s="20" t="s">
        <v>136</v>
      </c>
      <c r="D346" s="22" t="s">
        <v>137</v>
      </c>
      <c r="E346" s="20" t="s">
        <v>142</v>
      </c>
      <c r="F346" s="20" t="s">
        <v>143</v>
      </c>
      <c r="G346" s="25" t="s">
        <v>144</v>
      </c>
      <c r="H346" s="20" t="s">
        <v>145</v>
      </c>
      <c r="I346" s="224"/>
      <c r="J346" s="13"/>
    </row>
    <row r="347" spans="1:10" ht="14.1" customHeight="1" x14ac:dyDescent="0.25">
      <c r="A347" s="218"/>
      <c r="B347" s="75"/>
      <c r="C347" s="265" t="s">
        <v>138</v>
      </c>
      <c r="D347" s="10">
        <v>1386</v>
      </c>
      <c r="E347" s="26">
        <f>E349+E348</f>
        <v>0</v>
      </c>
      <c r="F347" s="26">
        <f>F349+F348</f>
        <v>1386.9813300000001</v>
      </c>
      <c r="G347" s="88">
        <f>D347-F347</f>
        <v>-0.98133000000007087</v>
      </c>
      <c r="H347" s="26">
        <f>SUM(H348:H349)</f>
        <v>1809.92166</v>
      </c>
      <c r="I347" s="27"/>
      <c r="J347" s="133"/>
    </row>
    <row r="348" spans="1:10" ht="14.1" customHeight="1" x14ac:dyDescent="0.25">
      <c r="A348" s="218"/>
      <c r="B348" s="75"/>
      <c r="C348" s="29" t="s">
        <v>9</v>
      </c>
      <c r="D348" s="208"/>
      <c r="E348" s="209">
        <f>0</f>
        <v>0</v>
      </c>
      <c r="F348" s="209">
        <f>1081.99515</f>
        <v>1081.99515</v>
      </c>
      <c r="G348" s="210"/>
      <c r="H348" s="209">
        <f>1503.67411</f>
        <v>1503.6741099999999</v>
      </c>
      <c r="I348" s="154"/>
      <c r="J348" s="133"/>
    </row>
    <row r="349" spans="1:10" ht="14.1" customHeight="1" x14ac:dyDescent="0.25">
      <c r="A349" s="218"/>
      <c r="B349" s="75"/>
      <c r="C349" s="29" t="s">
        <v>12</v>
      </c>
      <c r="D349" s="211"/>
      <c r="E349" s="213">
        <f>0</f>
        <v>0</v>
      </c>
      <c r="F349" s="213">
        <f>304.98618</f>
        <v>304.98617999999999</v>
      </c>
      <c r="G349" s="214"/>
      <c r="H349" s="213">
        <f>306.24755</f>
        <v>306.24754999999999</v>
      </c>
      <c r="I349" s="154"/>
      <c r="J349" s="133"/>
    </row>
    <row r="350" spans="1:10" ht="14.1" customHeight="1" x14ac:dyDescent="0.25">
      <c r="A350" s="218"/>
      <c r="B350" s="75"/>
      <c r="C350" s="265" t="s">
        <v>139</v>
      </c>
      <c r="D350" s="10">
        <v>1560</v>
      </c>
      <c r="E350" s="26">
        <f>SUM(E351:E352)</f>
        <v>0</v>
      </c>
      <c r="F350" s="26">
        <f>SUM(F351:F352)</f>
        <v>1811.0628700000002</v>
      </c>
      <c r="G350" s="88">
        <f>D350-F350</f>
        <v>-251.0628700000002</v>
      </c>
      <c r="H350" s="26">
        <f>SUM(H351:H352)</f>
        <v>1302.9703000000002</v>
      </c>
      <c r="I350" s="27"/>
      <c r="J350" s="133"/>
    </row>
    <row r="351" spans="1:10" ht="14.1" customHeight="1" x14ac:dyDescent="0.25">
      <c r="A351" s="218"/>
      <c r="B351" s="75"/>
      <c r="C351" s="29" t="s">
        <v>9</v>
      </c>
      <c r="D351" s="44"/>
      <c r="E351" s="30">
        <f>0</f>
        <v>0</v>
      </c>
      <c r="F351" s="30">
        <f>1413.4299</f>
        <v>1413.4299000000001</v>
      </c>
      <c r="G351" s="100"/>
      <c r="H351" s="30">
        <f>1057.0956</f>
        <v>1057.0956000000001</v>
      </c>
      <c r="I351" s="154"/>
      <c r="J351" s="133"/>
    </row>
    <row r="352" spans="1:10" ht="14.1" customHeight="1" x14ac:dyDescent="0.25">
      <c r="A352" s="218"/>
      <c r="B352" s="75"/>
      <c r="C352" s="29" t="s">
        <v>12</v>
      </c>
      <c r="D352" s="221"/>
      <c r="E352" s="30">
        <f>0</f>
        <v>0</v>
      </c>
      <c r="F352" s="30">
        <f>397.63297</f>
        <v>397.63297</v>
      </c>
      <c r="G352" s="111"/>
      <c r="H352" s="30">
        <f>245.8747</f>
        <v>245.87469999999999</v>
      </c>
      <c r="I352" s="154"/>
      <c r="J352" s="133"/>
    </row>
    <row r="353" spans="1:10" ht="14.1" customHeight="1" x14ac:dyDescent="0.25">
      <c r="A353" s="218"/>
      <c r="B353" s="75"/>
      <c r="C353" s="265" t="s">
        <v>140</v>
      </c>
      <c r="D353" s="10">
        <v>1560</v>
      </c>
      <c r="E353" s="36">
        <f>SUM(E354:E355)</f>
        <v>70.510000000000005</v>
      </c>
      <c r="F353" s="36">
        <f>SUM(F354:F355)</f>
        <v>833.96621999999991</v>
      </c>
      <c r="G353" s="88">
        <f>D353-F353</f>
        <v>726.03378000000009</v>
      </c>
      <c r="H353" s="36">
        <f>SUM(H354:H355)</f>
        <v>634.82878000000005</v>
      </c>
      <c r="I353" s="154"/>
      <c r="J353" s="133"/>
    </row>
    <row r="354" spans="1:10" ht="14.1" customHeight="1" x14ac:dyDescent="0.25">
      <c r="A354" s="218"/>
      <c r="B354" s="75"/>
      <c r="C354" s="29" t="s">
        <v>9</v>
      </c>
      <c r="D354" s="44"/>
      <c r="E354" s="30">
        <f>57.5445</f>
        <v>57.544499999999999</v>
      </c>
      <c r="F354" s="30">
        <f>656.02848</f>
        <v>656.02847999999994</v>
      </c>
      <c r="G354" s="100"/>
      <c r="H354" s="30">
        <f>544.7123</f>
        <v>544.71230000000003</v>
      </c>
      <c r="I354" s="154"/>
      <c r="J354" s="133"/>
    </row>
    <row r="355" spans="1:10" ht="14.1" customHeight="1" x14ac:dyDescent="0.25">
      <c r="A355" s="218"/>
      <c r="B355" s="75"/>
      <c r="C355" s="29" t="s">
        <v>12</v>
      </c>
      <c r="D355" s="221"/>
      <c r="E355" s="30">
        <f>12.9655</f>
        <v>12.9655</v>
      </c>
      <c r="F355" s="30">
        <f>177.93774</f>
        <v>177.93773999999999</v>
      </c>
      <c r="G355" s="111"/>
      <c r="H355" s="30">
        <f>90.11648</f>
        <v>90.116479999999996</v>
      </c>
      <c r="I355" s="154"/>
      <c r="J355" s="133"/>
    </row>
    <row r="356" spans="1:10" ht="14.1" customHeight="1" x14ac:dyDescent="0.25">
      <c r="A356" s="218"/>
      <c r="B356" s="75"/>
      <c r="C356" s="279" t="s">
        <v>115</v>
      </c>
      <c r="D356" s="37"/>
      <c r="E356" s="39"/>
      <c r="F356" s="39"/>
      <c r="G356" s="40"/>
      <c r="H356" s="39"/>
      <c r="I356" s="154"/>
      <c r="J356" s="133"/>
    </row>
    <row r="357" spans="1:10" ht="14.1" customHeight="1" x14ac:dyDescent="0.25">
      <c r="A357" s="218"/>
      <c r="B357" s="75"/>
      <c r="C357" s="285" t="s">
        <v>105</v>
      </c>
      <c r="D357" s="41">
        <f>D347+D350+D353</f>
        <v>4506</v>
      </c>
      <c r="E357" s="42">
        <f>E347+E350+E353+E356</f>
        <v>70.510000000000005</v>
      </c>
      <c r="F357" s="42">
        <f>F347+F350+F353+F356</f>
        <v>4032.0104200000001</v>
      </c>
      <c r="G357" s="43">
        <f>SUM(G347:G356)</f>
        <v>473.98957999999982</v>
      </c>
      <c r="H357" s="42">
        <f>H347+H350+H353+H356</f>
        <v>3747.7207399999998</v>
      </c>
      <c r="I357" s="27"/>
      <c r="J357" s="133"/>
    </row>
    <row r="358" spans="1:10" ht="14.1" customHeight="1" x14ac:dyDescent="0.25">
      <c r="A358" s="218"/>
      <c r="B358" s="75"/>
      <c r="C358" s="154"/>
      <c r="D358" s="161"/>
      <c r="E358" s="154"/>
      <c r="F358" s="154"/>
      <c r="G358" s="154"/>
      <c r="H358" s="154"/>
      <c r="I358" s="154"/>
      <c r="J358" s="133"/>
    </row>
    <row r="359" spans="1:10" ht="14.1" customHeight="1" x14ac:dyDescent="0.25">
      <c r="A359" s="218"/>
      <c r="B359" s="8"/>
      <c r="C359" s="212"/>
      <c r="D359" s="204"/>
      <c r="E359" s="212"/>
      <c r="F359" s="212"/>
      <c r="G359" s="212"/>
      <c r="H359" s="212"/>
      <c r="I359" s="212"/>
      <c r="J359" s="12"/>
    </row>
    <row r="360" spans="1:10" ht="0" hidden="1" customHeight="1" x14ac:dyDescent="0.25"/>
    <row r="361" spans="1:10" ht="0" hidden="1" customHeight="1" x14ac:dyDescent="0.25"/>
    <row r="362" spans="1:10" ht="0" hidden="1" customHeight="1" x14ac:dyDescent="0.25"/>
    <row r="363" spans="1:10" ht="0" hidden="1" customHeight="1" x14ac:dyDescent="0.25"/>
    <row r="364" spans="1:10" ht="0" hidden="1" customHeight="1" x14ac:dyDescent="0.25"/>
    <row r="365" spans="1:10" ht="0" hidden="1" customHeight="1" x14ac:dyDescent="0.25"/>
    <row r="366" spans="1:10" ht="0" hidden="1" customHeight="1" x14ac:dyDescent="0.25"/>
    <row r="367" spans="1:10" ht="0" hidden="1" customHeight="1" x14ac:dyDescent="0.25"/>
    <row r="368" spans="1:10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16.5" customHeight="1" x14ac:dyDescent="0.25"/>
  </sheetData>
  <mergeCells count="11">
    <mergeCell ref="C53:H53"/>
    <mergeCell ref="D56:D60"/>
    <mergeCell ref="G56:G60"/>
    <mergeCell ref="C106:D106"/>
    <mergeCell ref="E106:F106"/>
    <mergeCell ref="G106:H10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UKE_44_2022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2022-08-03T07:21:44Z</cp:lastPrinted>
  <dcterms:created xsi:type="dcterms:W3CDTF">2022-08-01T13:23:35Z</dcterms:created>
  <dcterms:modified xsi:type="dcterms:W3CDTF">2022-11-07T09:36:08Z</dcterms:modified>
</cp:coreProperties>
</file>